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00" windowHeight="1185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ФЕР'!$25:$25</definedName>
    <definedName name="_xlnm.Print_Area" localSheetId="1">'Акт КС-2 c НР и СП'!$A$1:$H$175</definedName>
    <definedName name="_xlnm.Print_Area" localSheetId="0">'Смета 12 гр. по ФЕР'!$A$1:$L$112</definedName>
  </definedNames>
  <calcPr calcId="145621"/>
</workbook>
</file>

<file path=xl/calcChain.xml><?xml version="1.0" encoding="utf-8"?>
<calcChain xmlns="http://schemas.openxmlformats.org/spreadsheetml/2006/main">
  <c r="G170" i="6" l="1"/>
  <c r="G165" i="6"/>
  <c r="C170" i="6"/>
  <c r="C165" i="6"/>
  <c r="C159" i="6"/>
  <c r="C158" i="6"/>
  <c r="C157" i="6"/>
  <c r="D152" i="6"/>
  <c r="F151" i="6"/>
  <c r="E151" i="6"/>
  <c r="C151" i="6"/>
  <c r="D151" i="6"/>
  <c r="B151" i="6"/>
  <c r="D150" i="6"/>
  <c r="F149" i="6"/>
  <c r="E149" i="6"/>
  <c r="C149" i="6"/>
  <c r="D149" i="6"/>
  <c r="B149" i="6"/>
  <c r="D148" i="6"/>
  <c r="E147" i="6"/>
  <c r="D147" i="6"/>
  <c r="B147" i="6"/>
  <c r="H145" i="6"/>
  <c r="G145" i="6"/>
  <c r="F144" i="6"/>
  <c r="H143" i="6"/>
  <c r="G143" i="6"/>
  <c r="F142" i="6"/>
  <c r="D136" i="6"/>
  <c r="D135" i="6"/>
  <c r="D134" i="6"/>
  <c r="D133" i="6"/>
  <c r="E131" i="6"/>
  <c r="C131" i="6"/>
  <c r="D131" i="6"/>
  <c r="B131" i="6"/>
  <c r="D130" i="6"/>
  <c r="E129" i="6"/>
  <c r="C129" i="6"/>
  <c r="D129" i="6"/>
  <c r="B129" i="6"/>
  <c r="D128" i="6"/>
  <c r="E127" i="6"/>
  <c r="C127" i="6"/>
  <c r="D127" i="6"/>
  <c r="B127" i="6"/>
  <c r="H125" i="6"/>
  <c r="G125" i="6"/>
  <c r="F124" i="6"/>
  <c r="H123" i="6"/>
  <c r="G123" i="6"/>
  <c r="F122" i="6"/>
  <c r="D116" i="6"/>
  <c r="D115" i="6"/>
  <c r="D114" i="6"/>
  <c r="D113" i="6"/>
  <c r="E111" i="6"/>
  <c r="C111" i="6"/>
  <c r="D111" i="6"/>
  <c r="B111" i="6"/>
  <c r="D110" i="6"/>
  <c r="E109" i="6"/>
  <c r="C109" i="6"/>
  <c r="D109" i="6"/>
  <c r="B109" i="6"/>
  <c r="D108" i="6"/>
  <c r="E107" i="6"/>
  <c r="C107" i="6"/>
  <c r="D107" i="6"/>
  <c r="B107" i="6"/>
  <c r="D106" i="6"/>
  <c r="E105" i="6"/>
  <c r="C105" i="6"/>
  <c r="D105" i="6"/>
  <c r="B105" i="6"/>
  <c r="D104" i="6"/>
  <c r="E103" i="6"/>
  <c r="D103" i="6"/>
  <c r="B103" i="6"/>
  <c r="H101" i="6"/>
  <c r="G101" i="6"/>
  <c r="F100" i="6"/>
  <c r="H99" i="6"/>
  <c r="G99" i="6"/>
  <c r="F98" i="6"/>
  <c r="D92" i="6"/>
  <c r="D91" i="6"/>
  <c r="D90" i="6"/>
  <c r="D89" i="6"/>
  <c r="E87" i="6"/>
  <c r="C87" i="6"/>
  <c r="D87" i="6"/>
  <c r="B87" i="6"/>
  <c r="D86" i="6"/>
  <c r="E85" i="6"/>
  <c r="D85" i="6"/>
  <c r="B85" i="6"/>
  <c r="D84" i="6"/>
  <c r="E83" i="6"/>
  <c r="D83" i="6"/>
  <c r="B83" i="6"/>
  <c r="H81" i="6"/>
  <c r="G81" i="6"/>
  <c r="F80" i="6"/>
  <c r="H79" i="6"/>
  <c r="G79" i="6"/>
  <c r="F78" i="6"/>
  <c r="D72" i="6"/>
  <c r="D71" i="6"/>
  <c r="D70" i="6"/>
  <c r="D69" i="6"/>
  <c r="E67" i="6"/>
  <c r="C67" i="6"/>
  <c r="D67" i="6"/>
  <c r="B67" i="6"/>
  <c r="D66" i="6"/>
  <c r="E65" i="6"/>
  <c r="D65" i="6"/>
  <c r="B65" i="6"/>
  <c r="H63" i="6"/>
  <c r="G63" i="6"/>
  <c r="F62" i="6"/>
  <c r="H61" i="6"/>
  <c r="G61" i="6"/>
  <c r="F60" i="6"/>
  <c r="D54" i="6"/>
  <c r="D53" i="6"/>
  <c r="D52" i="6"/>
  <c r="D51" i="6"/>
  <c r="E49" i="6"/>
  <c r="C49" i="6"/>
  <c r="D49" i="6"/>
  <c r="B49" i="6"/>
  <c r="H47" i="6"/>
  <c r="G47" i="6"/>
  <c r="F46" i="6"/>
  <c r="H45" i="6"/>
  <c r="G45" i="6"/>
  <c r="F44" i="6"/>
  <c r="D43" i="6"/>
  <c r="D42" i="6"/>
  <c r="D41" i="6"/>
  <c r="D40" i="6"/>
  <c r="E38" i="6"/>
  <c r="C38" i="6"/>
  <c r="D38" i="6"/>
  <c r="B38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D8" i="5"/>
  <c r="C103" i="5"/>
  <c r="C102" i="5"/>
  <c r="C101" i="5"/>
  <c r="Z98" i="5"/>
  <c r="Y98" i="5"/>
  <c r="X98" i="5"/>
  <c r="J97" i="5"/>
  <c r="G97" i="5"/>
  <c r="F97" i="5"/>
  <c r="U97" i="5"/>
  <c r="S97" i="5"/>
  <c r="E97" i="5"/>
  <c r="D97" i="5"/>
  <c r="I97" i="5"/>
  <c r="C97" i="5"/>
  <c r="B97" i="5"/>
  <c r="A97" i="5"/>
  <c r="Z96" i="5"/>
  <c r="Y96" i="5"/>
  <c r="X96" i="5"/>
  <c r="J95" i="5"/>
  <c r="G95" i="5"/>
  <c r="F95" i="5"/>
  <c r="U95" i="5"/>
  <c r="S95" i="5"/>
  <c r="E95" i="5"/>
  <c r="D95" i="5"/>
  <c r="I95" i="5"/>
  <c r="C95" i="5"/>
  <c r="B95" i="5"/>
  <c r="A95" i="5"/>
  <c r="Z94" i="5"/>
  <c r="Y94" i="5"/>
  <c r="X94" i="5"/>
  <c r="J93" i="5"/>
  <c r="Z93" i="5"/>
  <c r="Y93" i="5"/>
  <c r="X93" i="5"/>
  <c r="F93" i="5"/>
  <c r="D93" i="5"/>
  <c r="B93" i="5"/>
  <c r="A93" i="5"/>
  <c r="G92" i="5"/>
  <c r="E92" i="5"/>
  <c r="J91" i="5"/>
  <c r="F91" i="5"/>
  <c r="E91" i="5"/>
  <c r="J90" i="5"/>
  <c r="F90" i="5"/>
  <c r="E90" i="5"/>
  <c r="J89" i="5"/>
  <c r="G89" i="5"/>
  <c r="F89" i="5"/>
  <c r="J88" i="5"/>
  <c r="G88" i="5"/>
  <c r="F88" i="5"/>
  <c r="J87" i="5"/>
  <c r="G87" i="5"/>
  <c r="F87" i="5"/>
  <c r="J86" i="5"/>
  <c r="G86" i="5"/>
  <c r="F86" i="5"/>
  <c r="F84" i="5"/>
  <c r="D84" i="5"/>
  <c r="I84" i="5"/>
  <c r="C84" i="5"/>
  <c r="B84" i="5"/>
  <c r="A84" i="5"/>
  <c r="Z83" i="5"/>
  <c r="Y83" i="5"/>
  <c r="X83" i="5"/>
  <c r="J82" i="5"/>
  <c r="Z82" i="5"/>
  <c r="Y82" i="5"/>
  <c r="X82" i="5"/>
  <c r="F82" i="5"/>
  <c r="D82" i="5"/>
  <c r="C82" i="5"/>
  <c r="B82" i="5"/>
  <c r="A82" i="5"/>
  <c r="J81" i="5"/>
  <c r="Z81" i="5"/>
  <c r="Y81" i="5"/>
  <c r="X81" i="5"/>
  <c r="F81" i="5"/>
  <c r="D81" i="5"/>
  <c r="C81" i="5"/>
  <c r="B81" i="5"/>
  <c r="A81" i="5"/>
  <c r="G80" i="5"/>
  <c r="E80" i="5"/>
  <c r="J79" i="5"/>
  <c r="F79" i="5"/>
  <c r="E79" i="5"/>
  <c r="J78" i="5"/>
  <c r="F78" i="5"/>
  <c r="E78" i="5"/>
  <c r="J77" i="5"/>
  <c r="G77" i="5"/>
  <c r="F77" i="5"/>
  <c r="J76" i="5"/>
  <c r="G76" i="5"/>
  <c r="F76" i="5"/>
  <c r="F74" i="5"/>
  <c r="D74" i="5"/>
  <c r="I74" i="5"/>
  <c r="C74" i="5"/>
  <c r="B74" i="5"/>
  <c r="A74" i="5"/>
  <c r="Z73" i="5"/>
  <c r="Y73" i="5"/>
  <c r="X73" i="5"/>
  <c r="J72" i="5"/>
  <c r="Z72" i="5"/>
  <c r="Y72" i="5"/>
  <c r="X72" i="5"/>
  <c r="F72" i="5"/>
  <c r="D72" i="5"/>
  <c r="C72" i="5"/>
  <c r="B72" i="5"/>
  <c r="A72" i="5"/>
  <c r="J71" i="5"/>
  <c r="Z71" i="5"/>
  <c r="Y71" i="5"/>
  <c r="X71" i="5"/>
  <c r="F71" i="5"/>
  <c r="D71" i="5"/>
  <c r="C71" i="5"/>
  <c r="B71" i="5"/>
  <c r="A71" i="5"/>
  <c r="J70" i="5"/>
  <c r="Z70" i="5"/>
  <c r="Y70" i="5"/>
  <c r="X70" i="5"/>
  <c r="F70" i="5"/>
  <c r="D70" i="5"/>
  <c r="C70" i="5"/>
  <c r="B70" i="5"/>
  <c r="A70" i="5"/>
  <c r="J69" i="5"/>
  <c r="Z69" i="5"/>
  <c r="Y69" i="5"/>
  <c r="X69" i="5"/>
  <c r="F69" i="5"/>
  <c r="D69" i="5"/>
  <c r="B69" i="5"/>
  <c r="A69" i="5"/>
  <c r="G68" i="5"/>
  <c r="E68" i="5"/>
  <c r="J67" i="5"/>
  <c r="F67" i="5"/>
  <c r="E67" i="5"/>
  <c r="J66" i="5"/>
  <c r="F66" i="5"/>
  <c r="E66" i="5"/>
  <c r="J65" i="5"/>
  <c r="G65" i="5"/>
  <c r="F65" i="5"/>
  <c r="J64" i="5"/>
  <c r="G64" i="5"/>
  <c r="F64" i="5"/>
  <c r="J63" i="5"/>
  <c r="G63" i="5"/>
  <c r="F63" i="5"/>
  <c r="J62" i="5"/>
  <c r="G62" i="5"/>
  <c r="F62" i="5"/>
  <c r="F60" i="5"/>
  <c r="D60" i="5"/>
  <c r="I60" i="5"/>
  <c r="C60" i="5"/>
  <c r="B60" i="5"/>
  <c r="A60" i="5"/>
  <c r="Z59" i="5"/>
  <c r="Y59" i="5"/>
  <c r="X59" i="5"/>
  <c r="J58" i="5"/>
  <c r="Z58" i="5"/>
  <c r="Y58" i="5"/>
  <c r="X58" i="5"/>
  <c r="F58" i="5"/>
  <c r="D58" i="5"/>
  <c r="C58" i="5"/>
  <c r="B58" i="5"/>
  <c r="A58" i="5"/>
  <c r="J57" i="5"/>
  <c r="Z57" i="5"/>
  <c r="Y57" i="5"/>
  <c r="X57" i="5"/>
  <c r="F57" i="5"/>
  <c r="D57" i="5"/>
  <c r="B57" i="5"/>
  <c r="A57" i="5"/>
  <c r="G56" i="5"/>
  <c r="E56" i="5"/>
  <c r="J55" i="5"/>
  <c r="F55" i="5"/>
  <c r="E55" i="5"/>
  <c r="J54" i="5"/>
  <c r="F54" i="5"/>
  <c r="E54" i="5"/>
  <c r="J53" i="5"/>
  <c r="G53" i="5"/>
  <c r="F53" i="5"/>
  <c r="J52" i="5"/>
  <c r="G52" i="5"/>
  <c r="F52" i="5"/>
  <c r="J51" i="5"/>
  <c r="G51" i="5"/>
  <c r="F51" i="5"/>
  <c r="J50" i="5"/>
  <c r="G50" i="5"/>
  <c r="F50" i="5"/>
  <c r="F48" i="5"/>
  <c r="D48" i="5"/>
  <c r="I48" i="5"/>
  <c r="C48" i="5"/>
  <c r="B48" i="5"/>
  <c r="A48" i="5"/>
  <c r="Z47" i="5"/>
  <c r="Y47" i="5"/>
  <c r="X47" i="5"/>
  <c r="J46" i="5"/>
  <c r="Z46" i="5"/>
  <c r="Y46" i="5"/>
  <c r="X46" i="5"/>
  <c r="F46" i="5"/>
  <c r="D46" i="5"/>
  <c r="B46" i="5"/>
  <c r="A46" i="5"/>
  <c r="G45" i="5"/>
  <c r="E45" i="5"/>
  <c r="J44" i="5"/>
  <c r="F44" i="5"/>
  <c r="E44" i="5"/>
  <c r="J43" i="5"/>
  <c r="F43" i="5"/>
  <c r="E43" i="5"/>
  <c r="J42" i="5"/>
  <c r="G42" i="5"/>
  <c r="F42" i="5"/>
  <c r="J41" i="5"/>
  <c r="G41" i="5"/>
  <c r="F41" i="5"/>
  <c r="J40" i="5"/>
  <c r="G40" i="5"/>
  <c r="F40" i="5"/>
  <c r="J39" i="5"/>
  <c r="G39" i="5"/>
  <c r="F39" i="5"/>
  <c r="F37" i="5"/>
  <c r="D37" i="5"/>
  <c r="I37" i="5"/>
  <c r="C37" i="5"/>
  <c r="B37" i="5"/>
  <c r="A37" i="5"/>
  <c r="Z36" i="5"/>
  <c r="G19" i="5" s="1"/>
  <c r="Y36" i="5"/>
  <c r="X36" i="5"/>
  <c r="G35" i="5"/>
  <c r="E35" i="5"/>
  <c r="J34" i="5"/>
  <c r="F34" i="5"/>
  <c r="E34" i="5"/>
  <c r="J33" i="5"/>
  <c r="F33" i="5"/>
  <c r="E33" i="5"/>
  <c r="J32" i="5"/>
  <c r="G32" i="5"/>
  <c r="F32" i="5"/>
  <c r="J31" i="5"/>
  <c r="G31" i="5"/>
  <c r="F31" i="5"/>
  <c r="J30" i="5"/>
  <c r="G30" i="5"/>
  <c r="F30" i="5"/>
  <c r="F28" i="5"/>
  <c r="D28" i="5"/>
  <c r="I28" i="5"/>
  <c r="C28" i="5"/>
  <c r="B28" i="5"/>
  <c r="A28" i="5"/>
  <c r="A27" i="5"/>
  <c r="A11" i="5"/>
  <c r="A1" i="5"/>
  <c r="G17" i="5" l="1"/>
  <c r="G18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AC24" i="1"/>
  <c r="CQ24" i="1" s="1"/>
  <c r="AE24" i="1"/>
  <c r="CS24" i="1" s="1"/>
  <c r="R24" i="1" s="1"/>
  <c r="AF24" i="1"/>
  <c r="AG24" i="1"/>
  <c r="CU24" i="1" s="1"/>
  <c r="AH24" i="1"/>
  <c r="AI24" i="1"/>
  <c r="AJ24" i="1"/>
  <c r="CX24" i="1" s="1"/>
  <c r="CV24" i="1"/>
  <c r="U24" i="1" s="1"/>
  <c r="CW24" i="1"/>
  <c r="V24" i="1" s="1"/>
  <c r="Z38" i="6" s="1"/>
  <c r="FR24" i="1"/>
  <c r="GL24" i="1"/>
  <c r="GO24" i="1"/>
  <c r="GP24" i="1"/>
  <c r="GV24" i="1"/>
  <c r="C25" i="1"/>
  <c r="D25" i="1"/>
  <c r="I25" i="1"/>
  <c r="CX11" i="3" s="1"/>
  <c r="AC25" i="1"/>
  <c r="H42" i="5" s="1"/>
  <c r="AE25" i="1"/>
  <c r="H41" i="5" s="1"/>
  <c r="R41" i="5" s="1"/>
  <c r="AF25" i="1"/>
  <c r="AG25" i="1"/>
  <c r="AH25" i="1"/>
  <c r="CV25" i="1" s="1"/>
  <c r="U25" i="1" s="1"/>
  <c r="AI25" i="1"/>
  <c r="CW25" i="1" s="1"/>
  <c r="V25" i="1" s="1"/>
  <c r="Z49" i="6" s="1"/>
  <c r="AJ25" i="1"/>
  <c r="CX25" i="1" s="1"/>
  <c r="W25" i="1" s="1"/>
  <c r="CQ25" i="1"/>
  <c r="P25" i="1" s="1"/>
  <c r="CT25" i="1"/>
  <c r="S25" i="1" s="1"/>
  <c r="CU25" i="1"/>
  <c r="T25" i="1" s="1"/>
  <c r="FR25" i="1"/>
  <c r="GL25" i="1"/>
  <c r="GO25" i="1"/>
  <c r="GP25" i="1"/>
  <c r="GV25" i="1"/>
  <c r="GX25" i="1"/>
  <c r="I26" i="1"/>
  <c r="R26" i="1"/>
  <c r="AC26" i="1"/>
  <c r="AB26" i="1" s="1"/>
  <c r="G65" i="6" s="1"/>
  <c r="AE26" i="1"/>
  <c r="AD26" i="1" s="1"/>
  <c r="CR26" i="1" s="1"/>
  <c r="Q26" i="1" s="1"/>
  <c r="W65" i="6" s="1"/>
  <c r="AF26" i="1"/>
  <c r="AG26" i="1"/>
  <c r="CU26" i="1" s="1"/>
  <c r="T26" i="1" s="1"/>
  <c r="AH26" i="1"/>
  <c r="AI26" i="1"/>
  <c r="AJ26" i="1"/>
  <c r="CX26" i="1" s="1"/>
  <c r="W26" i="1" s="1"/>
  <c r="CS26" i="1"/>
  <c r="CV26" i="1"/>
  <c r="U26" i="1" s="1"/>
  <c r="Y65" i="6" s="1"/>
  <c r="CW26" i="1"/>
  <c r="V26" i="1" s="1"/>
  <c r="Z65" i="6" s="1"/>
  <c r="FR26" i="1"/>
  <c r="GL26" i="1"/>
  <c r="GO26" i="1"/>
  <c r="GP26" i="1"/>
  <c r="GV26" i="1"/>
  <c r="C27" i="1"/>
  <c r="D27" i="1"/>
  <c r="I27" i="1"/>
  <c r="AC27" i="1"/>
  <c r="AE27" i="1"/>
  <c r="H52" i="5" s="1"/>
  <c r="R52" i="5" s="1"/>
  <c r="AF27" i="1"/>
  <c r="AG27" i="1"/>
  <c r="AH27" i="1"/>
  <c r="CV27" i="1" s="1"/>
  <c r="U27" i="1" s="1"/>
  <c r="AI27" i="1"/>
  <c r="AJ27" i="1"/>
  <c r="CX27" i="1" s="1"/>
  <c r="W27" i="1" s="1"/>
  <c r="CQ27" i="1"/>
  <c r="P27" i="1" s="1"/>
  <c r="CS27" i="1"/>
  <c r="R27" i="1" s="1"/>
  <c r="CU27" i="1"/>
  <c r="T27" i="1" s="1"/>
  <c r="CW27" i="1"/>
  <c r="V27" i="1" s="1"/>
  <c r="Z67" i="6" s="1"/>
  <c r="FR27" i="1"/>
  <c r="GL27" i="1"/>
  <c r="GO27" i="1"/>
  <c r="GP27" i="1"/>
  <c r="GV27" i="1"/>
  <c r="GX27" i="1"/>
  <c r="I28" i="1"/>
  <c r="AC28" i="1"/>
  <c r="AE28" i="1"/>
  <c r="AD28" i="1" s="1"/>
  <c r="AF28" i="1"/>
  <c r="AG28" i="1"/>
  <c r="CU28" i="1" s="1"/>
  <c r="T28" i="1" s="1"/>
  <c r="AH28" i="1"/>
  <c r="AI28" i="1"/>
  <c r="AJ28" i="1"/>
  <c r="CX28" i="1" s="1"/>
  <c r="W28" i="1" s="1"/>
  <c r="CR28" i="1"/>
  <c r="Q28" i="1" s="1"/>
  <c r="W83" i="6" s="1"/>
  <c r="CS28" i="1"/>
  <c r="R28" i="1" s="1"/>
  <c r="CV28" i="1"/>
  <c r="U28" i="1" s="1"/>
  <c r="Y83" i="6" s="1"/>
  <c r="CW28" i="1"/>
  <c r="V28" i="1" s="1"/>
  <c r="Z83" i="6" s="1"/>
  <c r="FR28" i="1"/>
  <c r="GL28" i="1"/>
  <c r="GO28" i="1"/>
  <c r="GP28" i="1"/>
  <c r="GV28" i="1"/>
  <c r="GX28" i="1"/>
  <c r="I29" i="1"/>
  <c r="AC29" i="1"/>
  <c r="AE29" i="1"/>
  <c r="AD29" i="1" s="1"/>
  <c r="AF29" i="1"/>
  <c r="AG29" i="1"/>
  <c r="CU29" i="1" s="1"/>
  <c r="T29" i="1" s="1"/>
  <c r="AH29" i="1"/>
  <c r="CV29" i="1" s="1"/>
  <c r="AI29" i="1"/>
  <c r="CW29" i="1" s="1"/>
  <c r="AJ29" i="1"/>
  <c r="CX29" i="1" s="1"/>
  <c r="CQ29" i="1"/>
  <c r="P29" i="1" s="1"/>
  <c r="U85" i="6" s="1"/>
  <c r="CS29" i="1"/>
  <c r="R29" i="1" s="1"/>
  <c r="FR29" i="1"/>
  <c r="GL29" i="1"/>
  <c r="GO29" i="1"/>
  <c r="GP29" i="1"/>
  <c r="GV29" i="1"/>
  <c r="GX29" i="1" s="1"/>
  <c r="C30" i="1"/>
  <c r="D30" i="1"/>
  <c r="I30" i="1"/>
  <c r="AC30" i="1"/>
  <c r="AE30" i="1"/>
  <c r="AF30" i="1"/>
  <c r="AG30" i="1"/>
  <c r="CU30" i="1" s="1"/>
  <c r="AH30" i="1"/>
  <c r="AI30" i="1"/>
  <c r="CW30" i="1" s="1"/>
  <c r="V30" i="1" s="1"/>
  <c r="Z87" i="6" s="1"/>
  <c r="AJ30" i="1"/>
  <c r="CX30" i="1" s="1"/>
  <c r="W30" i="1" s="1"/>
  <c r="CT30" i="1"/>
  <c r="S30" i="1" s="1"/>
  <c r="CV30" i="1"/>
  <c r="U30" i="1" s="1"/>
  <c r="FR30" i="1"/>
  <c r="GL30" i="1"/>
  <c r="GO30" i="1"/>
  <c r="GP30" i="1"/>
  <c r="GV30" i="1"/>
  <c r="GX30" i="1" s="1"/>
  <c r="AC31" i="1"/>
  <c r="AE31" i="1"/>
  <c r="AD31" i="1" s="1"/>
  <c r="AF31" i="1"/>
  <c r="AG31" i="1"/>
  <c r="AH31" i="1"/>
  <c r="AI31" i="1"/>
  <c r="CW31" i="1" s="1"/>
  <c r="AJ31" i="1"/>
  <c r="CX31" i="1" s="1"/>
  <c r="CQ31" i="1"/>
  <c r="CU31" i="1"/>
  <c r="CV31" i="1"/>
  <c r="FR31" i="1"/>
  <c r="GL31" i="1"/>
  <c r="GO31" i="1"/>
  <c r="GP31" i="1"/>
  <c r="GV31" i="1"/>
  <c r="AC32" i="1"/>
  <c r="AD32" i="1"/>
  <c r="CR32" i="1" s="1"/>
  <c r="AE32" i="1"/>
  <c r="CS32" i="1" s="1"/>
  <c r="AF32" i="1"/>
  <c r="AG32" i="1"/>
  <c r="CU32" i="1" s="1"/>
  <c r="AH32" i="1"/>
  <c r="CV32" i="1" s="1"/>
  <c r="AI32" i="1"/>
  <c r="AJ32" i="1"/>
  <c r="CT32" i="1"/>
  <c r="CW32" i="1"/>
  <c r="CX32" i="1"/>
  <c r="FR32" i="1"/>
  <c r="GL32" i="1"/>
  <c r="GO32" i="1"/>
  <c r="GP32" i="1"/>
  <c r="GV32" i="1"/>
  <c r="I33" i="1"/>
  <c r="AC33" i="1"/>
  <c r="AE33" i="1"/>
  <c r="AD33" i="1" s="1"/>
  <c r="CR33" i="1" s="1"/>
  <c r="AF33" i="1"/>
  <c r="AG33" i="1"/>
  <c r="CU33" i="1" s="1"/>
  <c r="T33" i="1" s="1"/>
  <c r="AH33" i="1"/>
  <c r="AI33" i="1"/>
  <c r="CW33" i="1" s="1"/>
  <c r="V33" i="1" s="1"/>
  <c r="Z107" i="6" s="1"/>
  <c r="AJ33" i="1"/>
  <c r="CS33" i="1"/>
  <c r="R33" i="1" s="1"/>
  <c r="CT33" i="1"/>
  <c r="CV33" i="1"/>
  <c r="CX33" i="1"/>
  <c r="W33" i="1" s="1"/>
  <c r="FR33" i="1"/>
  <c r="GL33" i="1"/>
  <c r="GO33" i="1"/>
  <c r="GP33" i="1"/>
  <c r="GV33" i="1"/>
  <c r="GX33" i="1" s="1"/>
  <c r="I34" i="1"/>
  <c r="AC34" i="1"/>
  <c r="AE34" i="1"/>
  <c r="AD34" i="1" s="1"/>
  <c r="AF34" i="1"/>
  <c r="AG34" i="1"/>
  <c r="CU34" i="1" s="1"/>
  <c r="T34" i="1" s="1"/>
  <c r="AH34" i="1"/>
  <c r="CV34" i="1" s="1"/>
  <c r="U34" i="1" s="1"/>
  <c r="Y109" i="6" s="1"/>
  <c r="AI34" i="1"/>
  <c r="AJ34" i="1"/>
  <c r="CX34" i="1" s="1"/>
  <c r="CQ34" i="1"/>
  <c r="P34" i="1" s="1"/>
  <c r="U109" i="6" s="1"/>
  <c r="CS34" i="1"/>
  <c r="CW34" i="1"/>
  <c r="V34" i="1" s="1"/>
  <c r="Z109" i="6" s="1"/>
  <c r="FR34" i="1"/>
  <c r="GL34" i="1"/>
  <c r="GO34" i="1"/>
  <c r="GP34" i="1"/>
  <c r="GV34" i="1"/>
  <c r="GX34" i="1" s="1"/>
  <c r="C35" i="1"/>
  <c r="D35" i="1"/>
  <c r="I35" i="1"/>
  <c r="AC35" i="1"/>
  <c r="AE35" i="1"/>
  <c r="AD35" i="1" s="1"/>
  <c r="CR35" i="1" s="1"/>
  <c r="AF35" i="1"/>
  <c r="CT35" i="1" s="1"/>
  <c r="S35" i="1" s="1"/>
  <c r="AG35" i="1"/>
  <c r="CU35" i="1" s="1"/>
  <c r="T35" i="1" s="1"/>
  <c r="AH35" i="1"/>
  <c r="AI35" i="1"/>
  <c r="AJ35" i="1"/>
  <c r="CX35" i="1" s="1"/>
  <c r="W35" i="1" s="1"/>
  <c r="CS35" i="1"/>
  <c r="R35" i="1" s="1"/>
  <c r="CV35" i="1"/>
  <c r="CW35" i="1"/>
  <c r="V35" i="1" s="1"/>
  <c r="Z111" i="6" s="1"/>
  <c r="FR35" i="1"/>
  <c r="GL35" i="1"/>
  <c r="GO35" i="1"/>
  <c r="GP35" i="1"/>
  <c r="GV35" i="1"/>
  <c r="GX35" i="1"/>
  <c r="I36" i="1"/>
  <c r="AC36" i="1"/>
  <c r="AE36" i="1"/>
  <c r="AD36" i="1" s="1"/>
  <c r="AF36" i="1"/>
  <c r="AG36" i="1"/>
  <c r="CU36" i="1" s="1"/>
  <c r="T36" i="1" s="1"/>
  <c r="AH36" i="1"/>
  <c r="CV36" i="1" s="1"/>
  <c r="U36" i="1" s="1"/>
  <c r="Y127" i="6" s="1"/>
  <c r="AI36" i="1"/>
  <c r="AJ36" i="1"/>
  <c r="CX36" i="1" s="1"/>
  <c r="CQ36" i="1"/>
  <c r="P36" i="1" s="1"/>
  <c r="U127" i="6" s="1"/>
  <c r="CS36" i="1"/>
  <c r="CW36" i="1"/>
  <c r="V36" i="1" s="1"/>
  <c r="Z127" i="6" s="1"/>
  <c r="FR36" i="1"/>
  <c r="GL36" i="1"/>
  <c r="GO36" i="1"/>
  <c r="GP36" i="1"/>
  <c r="GV36" i="1"/>
  <c r="GX36" i="1" s="1"/>
  <c r="AC37" i="1"/>
  <c r="CQ37" i="1" s="1"/>
  <c r="AE37" i="1"/>
  <c r="AD37" i="1" s="1"/>
  <c r="CR37" i="1" s="1"/>
  <c r="AF37" i="1"/>
  <c r="AG37" i="1"/>
  <c r="AH37" i="1"/>
  <c r="AI37" i="1"/>
  <c r="CW37" i="1" s="1"/>
  <c r="AJ37" i="1"/>
  <c r="CX37" i="1" s="1"/>
  <c r="CU37" i="1"/>
  <c r="CV37" i="1"/>
  <c r="FR37" i="1"/>
  <c r="GL37" i="1"/>
  <c r="GO37" i="1"/>
  <c r="GP37" i="1"/>
  <c r="GV37" i="1"/>
  <c r="C38" i="1"/>
  <c r="D38" i="1"/>
  <c r="I38" i="1"/>
  <c r="AC38" i="1"/>
  <c r="H89" i="5" s="1"/>
  <c r="AE38" i="1"/>
  <c r="AF38" i="1"/>
  <c r="AG38" i="1"/>
  <c r="AH38" i="1"/>
  <c r="AI38" i="1"/>
  <c r="CW38" i="1" s="1"/>
  <c r="V38" i="1" s="1"/>
  <c r="Z131" i="6" s="1"/>
  <c r="AJ38" i="1"/>
  <c r="CX38" i="1" s="1"/>
  <c r="W38" i="1" s="1"/>
  <c r="CU38" i="1"/>
  <c r="T38" i="1" s="1"/>
  <c r="CV38" i="1"/>
  <c r="U38" i="1" s="1"/>
  <c r="FR38" i="1"/>
  <c r="GL38" i="1"/>
  <c r="GO38" i="1"/>
  <c r="GP38" i="1"/>
  <c r="GV38" i="1"/>
  <c r="GX38" i="1"/>
  <c r="AC39" i="1"/>
  <c r="AE39" i="1"/>
  <c r="AF39" i="1"/>
  <c r="AG39" i="1"/>
  <c r="CU39" i="1" s="1"/>
  <c r="AH39" i="1"/>
  <c r="CV39" i="1" s="1"/>
  <c r="AI39" i="1"/>
  <c r="CW39" i="1" s="1"/>
  <c r="AJ39" i="1"/>
  <c r="CQ39" i="1"/>
  <c r="CT39" i="1"/>
  <c r="CX39" i="1"/>
  <c r="FR39" i="1"/>
  <c r="GL39" i="1"/>
  <c r="GO39" i="1"/>
  <c r="GP39" i="1"/>
  <c r="GV39" i="1"/>
  <c r="O40" i="1"/>
  <c r="P40" i="1"/>
  <c r="U149" i="6" s="1"/>
  <c r="Q40" i="1"/>
  <c r="W149" i="6" s="1"/>
  <c r="R40" i="1"/>
  <c r="X149" i="6" s="1"/>
  <c r="S40" i="1"/>
  <c r="V149" i="6" s="1"/>
  <c r="T40" i="1"/>
  <c r="U40" i="1"/>
  <c r="V40" i="1"/>
  <c r="Z149" i="6" s="1"/>
  <c r="W40" i="1"/>
  <c r="X40" i="1"/>
  <c r="Y40" i="1"/>
  <c r="AB40" i="1"/>
  <c r="CP40" i="1" s="1"/>
  <c r="AC40" i="1"/>
  <c r="AD40" i="1"/>
  <c r="AE40" i="1"/>
  <c r="AF40" i="1"/>
  <c r="AG40" i="1"/>
  <c r="AH40" i="1"/>
  <c r="AI40" i="1"/>
  <c r="AJ40" i="1"/>
  <c r="FR40" i="1"/>
  <c r="GL40" i="1"/>
  <c r="GO40" i="1"/>
  <c r="GP40" i="1"/>
  <c r="GV40" i="1"/>
  <c r="GX40" i="1" s="1"/>
  <c r="O41" i="1"/>
  <c r="P41" i="1"/>
  <c r="U151" i="6" s="1"/>
  <c r="Q41" i="1"/>
  <c r="W151" i="6" s="1"/>
  <c r="R41" i="1"/>
  <c r="S41" i="1"/>
  <c r="V151" i="6" s="1"/>
  <c r="T41" i="1"/>
  <c r="U41" i="1"/>
  <c r="V41" i="1"/>
  <c r="Z151" i="6" s="1"/>
  <c r="W41" i="1"/>
  <c r="X41" i="1"/>
  <c r="Y41" i="1"/>
  <c r="AB41" i="1"/>
  <c r="AC41" i="1"/>
  <c r="AD41" i="1"/>
  <c r="AE41" i="1"/>
  <c r="AF41" i="1"/>
  <c r="AG41" i="1"/>
  <c r="AH41" i="1"/>
  <c r="AI41" i="1"/>
  <c r="AJ41" i="1"/>
  <c r="CP41" i="1"/>
  <c r="GN41" i="1" s="1"/>
  <c r="FR41" i="1"/>
  <c r="GL41" i="1"/>
  <c r="GO41" i="1"/>
  <c r="GP41" i="1"/>
  <c r="GV41" i="1"/>
  <c r="GX41" i="1" s="1"/>
  <c r="B43" i="1"/>
  <c r="B22" i="1" s="1"/>
  <c r="C43" i="1"/>
  <c r="C22" i="1" s="1"/>
  <c r="D43" i="1"/>
  <c r="D22" i="1" s="1"/>
  <c r="F43" i="1"/>
  <c r="F22" i="1" s="1"/>
  <c r="G43" i="1"/>
  <c r="BX43" i="1"/>
  <c r="CK43" i="1"/>
  <c r="CK22" i="1" s="1"/>
  <c r="CL43" i="1"/>
  <c r="CL22" i="1" s="1"/>
  <c r="B75" i="1"/>
  <c r="B18" i="1" s="1"/>
  <c r="C75" i="1"/>
  <c r="C18" i="1" s="1"/>
  <c r="D75" i="1"/>
  <c r="D18" i="1" s="1"/>
  <c r="F75" i="1"/>
  <c r="F18" i="1" s="1"/>
  <c r="G75" i="1"/>
  <c r="V111" i="6" l="1"/>
  <c r="K76" i="5"/>
  <c r="V49" i="6"/>
  <c r="K39" i="5"/>
  <c r="GK24" i="1"/>
  <c r="X38" i="6"/>
  <c r="K32" i="5"/>
  <c r="GM40" i="1"/>
  <c r="GN40" i="1"/>
  <c r="BB43" i="1"/>
  <c r="G151" i="6"/>
  <c r="H97" i="5"/>
  <c r="GK41" i="1"/>
  <c r="X151" i="6"/>
  <c r="AA149" i="6"/>
  <c r="T95" i="5"/>
  <c r="CQ38" i="1"/>
  <c r="P38" i="1" s="1"/>
  <c r="CX42" i="3"/>
  <c r="C85" i="5"/>
  <c r="E84" i="5"/>
  <c r="C132" i="6"/>
  <c r="F131" i="6"/>
  <c r="H77" i="5"/>
  <c r="S33" i="1"/>
  <c r="V107" i="6" s="1"/>
  <c r="H71" i="5"/>
  <c r="W71" i="5" s="1"/>
  <c r="CT31" i="1"/>
  <c r="Y87" i="6"/>
  <c r="L73" i="5"/>
  <c r="Q73" i="5" s="1"/>
  <c r="L68" i="5"/>
  <c r="AD30" i="1"/>
  <c r="H64" i="5"/>
  <c r="R64" i="5" s="1"/>
  <c r="F83" i="6"/>
  <c r="E57" i="5"/>
  <c r="U67" i="6"/>
  <c r="K53" i="5"/>
  <c r="H53" i="5"/>
  <c r="G62" i="6"/>
  <c r="G60" i="6"/>
  <c r="H39" i="5"/>
  <c r="R39" i="5" s="1"/>
  <c r="U37" i="5"/>
  <c r="S37" i="5"/>
  <c r="T24" i="1"/>
  <c r="CX14" i="3"/>
  <c r="G22" i="1"/>
  <c r="C154" i="6"/>
  <c r="A100" i="5"/>
  <c r="AB151" i="6"/>
  <c r="V97" i="5"/>
  <c r="Y151" i="6"/>
  <c r="L98" i="5"/>
  <c r="Q98" i="5" s="1"/>
  <c r="L94" i="5"/>
  <c r="Q94" i="5" s="1"/>
  <c r="Y131" i="6"/>
  <c r="L92" i="5"/>
  <c r="CT38" i="1"/>
  <c r="S38" i="1" s="1"/>
  <c r="G144" i="6"/>
  <c r="S84" i="5"/>
  <c r="G142" i="6"/>
  <c r="H86" i="5"/>
  <c r="R86" i="5" s="1"/>
  <c r="U84" i="5"/>
  <c r="U37" i="1"/>
  <c r="Y129" i="6" s="1"/>
  <c r="U82" i="5"/>
  <c r="R36" i="1"/>
  <c r="H81" i="5"/>
  <c r="W81" i="5" s="1"/>
  <c r="GK35" i="1"/>
  <c r="X111" i="6"/>
  <c r="I37" i="1"/>
  <c r="C112" i="6"/>
  <c r="F111" i="6"/>
  <c r="C75" i="5"/>
  <c r="E74" i="5"/>
  <c r="R34" i="1"/>
  <c r="H72" i="5"/>
  <c r="W72" i="5" s="1"/>
  <c r="GK33" i="1"/>
  <c r="X107" i="6"/>
  <c r="F107" i="6"/>
  <c r="E71" i="5"/>
  <c r="V87" i="6"/>
  <c r="K62" i="5"/>
  <c r="CQ30" i="1"/>
  <c r="H65" i="5"/>
  <c r="CT29" i="1"/>
  <c r="U58" i="5"/>
  <c r="S58" i="5"/>
  <c r="F85" i="6"/>
  <c r="E58" i="5"/>
  <c r="U57" i="5"/>
  <c r="S57" i="5"/>
  <c r="G80" i="6"/>
  <c r="G78" i="6"/>
  <c r="U48" i="5"/>
  <c r="H55" i="5" s="1"/>
  <c r="S48" i="5"/>
  <c r="H54" i="5" s="1"/>
  <c r="H50" i="5"/>
  <c r="R50" i="5" s="1"/>
  <c r="CT26" i="1"/>
  <c r="S26" i="1" s="1"/>
  <c r="V65" i="6" s="1"/>
  <c r="U46" i="5"/>
  <c r="S46" i="5"/>
  <c r="GK26" i="1"/>
  <c r="X65" i="6"/>
  <c r="W24" i="1"/>
  <c r="CT24" i="1"/>
  <c r="S24" i="1" s="1"/>
  <c r="G46" i="6"/>
  <c r="G44" i="6"/>
  <c r="S28" i="5"/>
  <c r="H33" i="5" s="1"/>
  <c r="H30" i="5"/>
  <c r="U28" i="5"/>
  <c r="H34" i="5" s="1"/>
  <c r="G149" i="6"/>
  <c r="H95" i="5"/>
  <c r="CC43" i="1"/>
  <c r="U71" i="5"/>
  <c r="S71" i="5"/>
  <c r="AB32" i="1"/>
  <c r="G105" i="6" s="1"/>
  <c r="CS31" i="1"/>
  <c r="CS30" i="1"/>
  <c r="R30" i="1" s="1"/>
  <c r="CX26" i="3"/>
  <c r="C88" i="6"/>
  <c r="F87" i="6"/>
  <c r="C61" i="5"/>
  <c r="E60" i="5"/>
  <c r="V29" i="1"/>
  <c r="Z85" i="6" s="1"/>
  <c r="CT28" i="1"/>
  <c r="S28" i="1" s="1"/>
  <c r="V83" i="6" s="1"/>
  <c r="CT27" i="1"/>
  <c r="S27" i="1" s="1"/>
  <c r="CX17" i="3"/>
  <c r="C68" i="6"/>
  <c r="F67" i="6"/>
  <c r="C49" i="5"/>
  <c r="E48" i="5"/>
  <c r="GX26" i="1"/>
  <c r="F65" i="6"/>
  <c r="E46" i="5"/>
  <c r="CS25" i="1"/>
  <c r="R25" i="1" s="1"/>
  <c r="Y49" i="6"/>
  <c r="L45" i="5"/>
  <c r="L47" i="5"/>
  <c r="Q47" i="5" s="1"/>
  <c r="AD25" i="1"/>
  <c r="CX5" i="3"/>
  <c r="C50" i="6"/>
  <c r="F49" i="6"/>
  <c r="C38" i="5"/>
  <c r="E37" i="5"/>
  <c r="AD24" i="1"/>
  <c r="H32" i="5"/>
  <c r="R32" i="5" s="1"/>
  <c r="GX24" i="1"/>
  <c r="C39" i="6"/>
  <c r="F38" i="6"/>
  <c r="C29" i="5"/>
  <c r="E28" i="5"/>
  <c r="CX22" i="3"/>
  <c r="CX10" i="3"/>
  <c r="T97" i="5"/>
  <c r="AA151" i="6"/>
  <c r="AD38" i="1"/>
  <c r="H87" i="5" s="1"/>
  <c r="H88" i="5"/>
  <c r="R88" i="5" s="1"/>
  <c r="F127" i="6"/>
  <c r="E81" i="5"/>
  <c r="G122" i="6"/>
  <c r="G124" i="6"/>
  <c r="S74" i="5"/>
  <c r="H76" i="5"/>
  <c r="R76" i="5" s="1"/>
  <c r="U74" i="5"/>
  <c r="F109" i="6"/>
  <c r="E72" i="5"/>
  <c r="BC43" i="1"/>
  <c r="BC75" i="1" s="1"/>
  <c r="GK40" i="1"/>
  <c r="V95" i="5"/>
  <c r="AB149" i="6"/>
  <c r="L96" i="5"/>
  <c r="Q96" i="5" s="1"/>
  <c r="Y149" i="6"/>
  <c r="CS38" i="1"/>
  <c r="R38" i="1" s="1"/>
  <c r="CT37" i="1"/>
  <c r="H82" i="5"/>
  <c r="W82" i="5" s="1"/>
  <c r="W36" i="1"/>
  <c r="CT36" i="1"/>
  <c r="S36" i="1" s="1"/>
  <c r="V127" i="6" s="1"/>
  <c r="U81" i="5"/>
  <c r="S81" i="5"/>
  <c r="U35" i="1"/>
  <c r="Q35" i="1"/>
  <c r="W111" i="6" s="1"/>
  <c r="W34" i="1"/>
  <c r="CT34" i="1"/>
  <c r="S34" i="1" s="1"/>
  <c r="V109" i="6" s="1"/>
  <c r="U72" i="5"/>
  <c r="S72" i="5"/>
  <c r="U33" i="1"/>
  <c r="Y107" i="6" s="1"/>
  <c r="Q33" i="1"/>
  <c r="W107" i="6" s="1"/>
  <c r="G98" i="6"/>
  <c r="G100" i="6"/>
  <c r="U60" i="5"/>
  <c r="S60" i="5"/>
  <c r="H62" i="5"/>
  <c r="GK29" i="1"/>
  <c r="X85" i="6"/>
  <c r="U29" i="1"/>
  <c r="Y85" i="6" s="1"/>
  <c r="H58" i="5"/>
  <c r="W58" i="5" s="1"/>
  <c r="GK28" i="1"/>
  <c r="X83" i="6"/>
  <c r="CQ28" i="1"/>
  <c r="P28" i="1" s="1"/>
  <c r="U83" i="6" s="1"/>
  <c r="H57" i="5"/>
  <c r="W57" i="5" s="1"/>
  <c r="X67" i="6"/>
  <c r="K52" i="5"/>
  <c r="Y67" i="6"/>
  <c r="L56" i="5"/>
  <c r="L59" i="5"/>
  <c r="Q59" i="5" s="1"/>
  <c r="AD27" i="1"/>
  <c r="CQ26" i="1"/>
  <c r="P26" i="1" s="1"/>
  <c r="H46" i="5"/>
  <c r="W46" i="5" s="1"/>
  <c r="U49" i="6"/>
  <c r="K42" i="5"/>
  <c r="Y38" i="6"/>
  <c r="L35" i="5"/>
  <c r="L36" i="5"/>
  <c r="Q36" i="5" s="1"/>
  <c r="CX18" i="3"/>
  <c r="CX6" i="3"/>
  <c r="G18" i="1"/>
  <c r="C161" i="6"/>
  <c r="AG161" i="6"/>
  <c r="U39" i="1"/>
  <c r="Y147" i="6" s="1"/>
  <c r="AD39" i="1"/>
  <c r="CR39" i="1" s="1"/>
  <c r="CS39" i="1"/>
  <c r="GX39" i="1"/>
  <c r="BX22" i="1"/>
  <c r="AO43" i="1"/>
  <c r="GX37" i="1"/>
  <c r="S37" i="1"/>
  <c r="V129" i="6" s="1"/>
  <c r="GK27" i="1"/>
  <c r="BC22" i="1"/>
  <c r="F59" i="1"/>
  <c r="GM41" i="1"/>
  <c r="T39" i="1"/>
  <c r="W37" i="1"/>
  <c r="P37" i="1"/>
  <c r="U129" i="6" s="1"/>
  <c r="CR36" i="1"/>
  <c r="Q36" i="1" s="1"/>
  <c r="W127" i="6" s="1"/>
  <c r="AB36" i="1"/>
  <c r="G127" i="6" s="1"/>
  <c r="CZ35" i="1"/>
  <c r="Y35" i="1" s="1"/>
  <c r="CY35" i="1"/>
  <c r="X35" i="1" s="1"/>
  <c r="AB35" i="1"/>
  <c r="G111" i="6" s="1"/>
  <c r="CR34" i="1"/>
  <c r="Q34" i="1" s="1"/>
  <c r="W109" i="6" s="1"/>
  <c r="AB34" i="1"/>
  <c r="G109" i="6" s="1"/>
  <c r="BY43" i="1"/>
  <c r="CZ33" i="1"/>
  <c r="Y33" i="1" s="1"/>
  <c r="CY33" i="1"/>
  <c r="X33" i="1" s="1"/>
  <c r="AB33" i="1"/>
  <c r="G107" i="6" s="1"/>
  <c r="AB31" i="1"/>
  <c r="G103" i="6" s="1"/>
  <c r="CR31" i="1"/>
  <c r="Q31" i="1" s="1"/>
  <c r="W103" i="6" s="1"/>
  <c r="CY30" i="1"/>
  <c r="X30" i="1" s="1"/>
  <c r="CZ30" i="1"/>
  <c r="Y30" i="1" s="1"/>
  <c r="CZ26" i="1"/>
  <c r="Y26" i="1" s="1"/>
  <c r="CY26" i="1"/>
  <c r="X26" i="1" s="1"/>
  <c r="CZ24" i="1"/>
  <c r="Y24" i="1" s="1"/>
  <c r="CY24" i="1"/>
  <c r="X24" i="1" s="1"/>
  <c r="CY38" i="1"/>
  <c r="X38" i="1" s="1"/>
  <c r="CZ38" i="1"/>
  <c r="Y38" i="1" s="1"/>
  <c r="BC18" i="1"/>
  <c r="F91" i="1"/>
  <c r="BZ43" i="1"/>
  <c r="CG43" i="1" s="1"/>
  <c r="AB39" i="1"/>
  <c r="G147" i="6" s="1"/>
  <c r="CR38" i="1"/>
  <c r="Q38" i="1" s="1"/>
  <c r="AB38" i="1"/>
  <c r="G131" i="6" s="1"/>
  <c r="T37" i="1"/>
  <c r="V37" i="1"/>
  <c r="Z129" i="6" s="1"/>
  <c r="Q37" i="1"/>
  <c r="W129" i="6" s="1"/>
  <c r="CP36" i="1"/>
  <c r="O36" i="1" s="1"/>
  <c r="CC22" i="1"/>
  <c r="AT43" i="1"/>
  <c r="CR29" i="1"/>
  <c r="Q29" i="1" s="1"/>
  <c r="AB29" i="1"/>
  <c r="G85" i="6" s="1"/>
  <c r="CY28" i="1"/>
  <c r="X28" i="1" s="1"/>
  <c r="CZ28" i="1"/>
  <c r="Y28" i="1" s="1"/>
  <c r="CD43" i="1"/>
  <c r="P39" i="1"/>
  <c r="U147" i="6" s="1"/>
  <c r="AB37" i="1"/>
  <c r="G129" i="6" s="1"/>
  <c r="CY36" i="1"/>
  <c r="X36" i="1" s="1"/>
  <c r="CZ36" i="1"/>
  <c r="Y36" i="1" s="1"/>
  <c r="CY34" i="1"/>
  <c r="X34" i="1" s="1"/>
  <c r="BB75" i="1"/>
  <c r="I39" i="1"/>
  <c r="CS37" i="1"/>
  <c r="R37" i="1" s="1"/>
  <c r="CQ35" i="1"/>
  <c r="P35" i="1" s="1"/>
  <c r="CQ33" i="1"/>
  <c r="P33" i="1" s="1"/>
  <c r="T30" i="1"/>
  <c r="AB30" i="1"/>
  <c r="G87" i="6" s="1"/>
  <c r="W29" i="1"/>
  <c r="S29" i="1"/>
  <c r="V85" i="6" s="1"/>
  <c r="P24" i="1"/>
  <c r="U38" i="6" s="1"/>
  <c r="CX37" i="3"/>
  <c r="CX41" i="3"/>
  <c r="CX39" i="3"/>
  <c r="CX36" i="3"/>
  <c r="CX40" i="3"/>
  <c r="CQ32" i="1"/>
  <c r="CX25" i="3"/>
  <c r="CX29" i="3"/>
  <c r="CX23" i="3"/>
  <c r="CX27" i="3"/>
  <c r="CX31" i="3"/>
  <c r="CX24" i="3"/>
  <c r="CX28" i="3"/>
  <c r="CZ27" i="1"/>
  <c r="Y27" i="1" s="1"/>
  <c r="CX38" i="3"/>
  <c r="CX33" i="3"/>
  <c r="CX35" i="3"/>
  <c r="CX32" i="3"/>
  <c r="AB28" i="1"/>
  <c r="G83" i="6" s="1"/>
  <c r="AB25" i="1"/>
  <c r="G49" i="6" s="1"/>
  <c r="CX34" i="3"/>
  <c r="I32" i="1"/>
  <c r="S70" i="5" s="1"/>
  <c r="I31" i="1"/>
  <c r="U69" i="5" s="1"/>
  <c r="P30" i="1"/>
  <c r="CY25" i="1"/>
  <c r="X25" i="1" s="1"/>
  <c r="CX1" i="3"/>
  <c r="CX3" i="3"/>
  <c r="CX30" i="3"/>
  <c r="CX2" i="3"/>
  <c r="CX20" i="3"/>
  <c r="CX16" i="3"/>
  <c r="CX12" i="3"/>
  <c r="CX8" i="3"/>
  <c r="CX4" i="3"/>
  <c r="CX19" i="3"/>
  <c r="CX15" i="3"/>
  <c r="CX7" i="3"/>
  <c r="CX21" i="3"/>
  <c r="CX13" i="3"/>
  <c r="CX9" i="3"/>
  <c r="CP26" i="1" l="1"/>
  <c r="O26" i="1" s="1"/>
  <c r="U65" i="6"/>
  <c r="AB67" i="6"/>
  <c r="H80" i="6"/>
  <c r="V48" i="5"/>
  <c r="AA109" i="6"/>
  <c r="T72" i="5"/>
  <c r="CP38" i="1"/>
  <c r="O38" i="1" s="1"/>
  <c r="W131" i="6"/>
  <c r="K87" i="5"/>
  <c r="AA87" i="6"/>
  <c r="H98" i="6"/>
  <c r="T60" i="5"/>
  <c r="U32" i="1"/>
  <c r="Y105" i="6" s="1"/>
  <c r="H124" i="6"/>
  <c r="AB111" i="6"/>
  <c r="V74" i="5"/>
  <c r="H60" i="6"/>
  <c r="AA49" i="6"/>
  <c r="T37" i="5"/>
  <c r="K43" i="5" s="1"/>
  <c r="CP35" i="1"/>
  <c r="O35" i="1" s="1"/>
  <c r="K77" i="5"/>
  <c r="U111" i="6"/>
  <c r="AB127" i="6"/>
  <c r="V81" i="5"/>
  <c r="CP29" i="1"/>
  <c r="O29" i="1" s="1"/>
  <c r="W85" i="6"/>
  <c r="AA65" i="6"/>
  <c r="T46" i="5"/>
  <c r="T81" i="5"/>
  <c r="AA127" i="6"/>
  <c r="AB83" i="6"/>
  <c r="V57" i="5"/>
  <c r="T32" i="1"/>
  <c r="CP34" i="1"/>
  <c r="O34" i="1" s="1"/>
  <c r="H142" i="6"/>
  <c r="AA131" i="6"/>
  <c r="T84" i="5"/>
  <c r="AB65" i="6"/>
  <c r="V46" i="5"/>
  <c r="U31" i="1"/>
  <c r="AB107" i="6"/>
  <c r="V71" i="5"/>
  <c r="T151" i="6"/>
  <c r="K97" i="5"/>
  <c r="J98" i="5" s="1"/>
  <c r="P98" i="5" s="1"/>
  <c r="H151" i="6"/>
  <c r="CP28" i="1"/>
  <c r="O28" i="1" s="1"/>
  <c r="R39" i="1"/>
  <c r="CR27" i="1"/>
  <c r="Q27" i="1" s="1"/>
  <c r="H51" i="5"/>
  <c r="W59" i="5" s="1"/>
  <c r="GK38" i="1"/>
  <c r="X131" i="6"/>
  <c r="K88" i="5"/>
  <c r="F129" i="6"/>
  <c r="E82" i="5"/>
  <c r="GK36" i="1"/>
  <c r="X127" i="6"/>
  <c r="H91" i="5"/>
  <c r="AB27" i="1"/>
  <c r="GX32" i="1"/>
  <c r="F105" i="6"/>
  <c r="E70" i="5"/>
  <c r="P32" i="1"/>
  <c r="U105" i="6" s="1"/>
  <c r="CP33" i="1"/>
  <c r="O33" i="1" s="1"/>
  <c r="U107" i="6"/>
  <c r="H46" i="6"/>
  <c r="AB38" i="6"/>
  <c r="V28" i="5"/>
  <c r="K34" i="5" s="1"/>
  <c r="AB131" i="6"/>
  <c r="V84" i="5"/>
  <c r="H144" i="6"/>
  <c r="AA107" i="6"/>
  <c r="T71" i="5"/>
  <c r="U87" i="6"/>
  <c r="K65" i="5"/>
  <c r="GK37" i="1"/>
  <c r="X129" i="6"/>
  <c r="GX31" i="1"/>
  <c r="F103" i="6"/>
  <c r="E69" i="5"/>
  <c r="S39" i="1"/>
  <c r="V147" i="6" s="1"/>
  <c r="F147" i="6"/>
  <c r="E93" i="5"/>
  <c r="CZ34" i="1"/>
  <c r="Y34" i="1" s="1"/>
  <c r="AA83" i="6"/>
  <c r="T57" i="5"/>
  <c r="R32" i="1"/>
  <c r="K81" i="5"/>
  <c r="T127" i="6"/>
  <c r="H127" i="6"/>
  <c r="H44" i="6"/>
  <c r="AA38" i="6"/>
  <c r="T28" i="5"/>
  <c r="K33" i="5" s="1"/>
  <c r="H100" i="6"/>
  <c r="AB87" i="6"/>
  <c r="V60" i="5"/>
  <c r="Q32" i="1"/>
  <c r="W105" i="6" s="1"/>
  <c r="V32" i="1"/>
  <c r="Z105" i="6" s="1"/>
  <c r="AA111" i="6"/>
  <c r="H122" i="6"/>
  <c r="T74" i="5"/>
  <c r="W32" i="1"/>
  <c r="U70" i="5"/>
  <c r="H67" i="5" s="1"/>
  <c r="L83" i="5"/>
  <c r="Q83" i="5" s="1"/>
  <c r="L100" i="5" s="1"/>
  <c r="Y111" i="6"/>
  <c r="L80" i="5"/>
  <c r="S93" i="5"/>
  <c r="CR25" i="1"/>
  <c r="Q25" i="1" s="1"/>
  <c r="H40" i="5"/>
  <c r="X49" i="6"/>
  <c r="K41" i="5"/>
  <c r="GK25" i="1"/>
  <c r="H70" i="5"/>
  <c r="W70" i="5" s="1"/>
  <c r="R30" i="5"/>
  <c r="G21" i="5" s="1"/>
  <c r="W36" i="5"/>
  <c r="S82" i="5"/>
  <c r="H78" i="5" s="1"/>
  <c r="G146" i="6"/>
  <c r="H43" i="5"/>
  <c r="BB22" i="1"/>
  <c r="F56" i="1"/>
  <c r="CZ25" i="1"/>
  <c r="Y25" i="1" s="1"/>
  <c r="R62" i="5"/>
  <c r="G102" i="6"/>
  <c r="U93" i="5"/>
  <c r="CY27" i="1"/>
  <c r="X27" i="1" s="1"/>
  <c r="V67" i="6"/>
  <c r="K50" i="5"/>
  <c r="GK30" i="1"/>
  <c r="X87" i="6"/>
  <c r="K64" i="5"/>
  <c r="G96" i="5"/>
  <c r="O96" i="5" s="1"/>
  <c r="W96" i="5"/>
  <c r="V38" i="6"/>
  <c r="K30" i="5"/>
  <c r="V131" i="6"/>
  <c r="K86" i="5"/>
  <c r="H93" i="5"/>
  <c r="W93" i="5" s="1"/>
  <c r="H44" i="5"/>
  <c r="W47" i="5" s="1"/>
  <c r="G64" i="6"/>
  <c r="K89" i="5"/>
  <c r="U131" i="6"/>
  <c r="H79" i="5"/>
  <c r="G126" i="6"/>
  <c r="CR24" i="1"/>
  <c r="Q24" i="1" s="1"/>
  <c r="H31" i="5"/>
  <c r="G36" i="5" s="1"/>
  <c r="O36" i="5" s="1"/>
  <c r="H69" i="5"/>
  <c r="W69" i="5" s="1"/>
  <c r="G59" i="5"/>
  <c r="O59" i="5" s="1"/>
  <c r="GK34" i="1"/>
  <c r="X109" i="6"/>
  <c r="H90" i="5"/>
  <c r="AB24" i="1"/>
  <c r="CR30" i="1"/>
  <c r="Q30" i="1" s="1"/>
  <c r="H63" i="5"/>
  <c r="W73" i="5" s="1"/>
  <c r="S69" i="5"/>
  <c r="H66" i="5" s="1"/>
  <c r="G98" i="5"/>
  <c r="O98" i="5" s="1"/>
  <c r="W98" i="5"/>
  <c r="H149" i="6"/>
  <c r="K95" i="5"/>
  <c r="J96" i="5" s="1"/>
  <c r="P96" i="5" s="1"/>
  <c r="T149" i="6"/>
  <c r="CY39" i="1"/>
  <c r="X39" i="1" s="1"/>
  <c r="CZ39" i="1"/>
  <c r="Y39" i="1" s="1"/>
  <c r="GM38" i="1"/>
  <c r="GN38" i="1"/>
  <c r="AT22" i="1"/>
  <c r="AT75" i="1"/>
  <c r="F61" i="1"/>
  <c r="F16" i="2" s="1"/>
  <c r="F18" i="2" s="1"/>
  <c r="BY22" i="1"/>
  <c r="AP43" i="1"/>
  <c r="CI43" i="1"/>
  <c r="CP37" i="1"/>
  <c r="O37" i="1" s="1"/>
  <c r="AO22" i="1"/>
  <c r="F47" i="1"/>
  <c r="AO75" i="1"/>
  <c r="S31" i="1"/>
  <c r="V103" i="6" s="1"/>
  <c r="GM26" i="1"/>
  <c r="GN26" i="1"/>
  <c r="R31" i="1"/>
  <c r="X103" i="6" s="1"/>
  <c r="V31" i="1"/>
  <c r="Z103" i="6" s="1"/>
  <c r="S32" i="1"/>
  <c r="V105" i="6" s="1"/>
  <c r="GM28" i="1"/>
  <c r="GN28" i="1"/>
  <c r="CY37" i="1"/>
  <c r="X37" i="1" s="1"/>
  <c r="CZ37" i="1"/>
  <c r="Y37" i="1" s="1"/>
  <c r="Q39" i="1"/>
  <c r="CY29" i="1"/>
  <c r="X29" i="1" s="1"/>
  <c r="CZ29" i="1"/>
  <c r="Y29" i="1" s="1"/>
  <c r="GM33" i="1"/>
  <c r="GN33" i="1"/>
  <c r="BB18" i="1"/>
  <c r="F88" i="1"/>
  <c r="GM34" i="1"/>
  <c r="GN34" i="1"/>
  <c r="BZ22" i="1"/>
  <c r="AQ43" i="1"/>
  <c r="T31" i="1"/>
  <c r="AG43" i="1" s="1"/>
  <c r="V39" i="1"/>
  <c r="Z147" i="6" s="1"/>
  <c r="W31" i="1"/>
  <c r="P31" i="1"/>
  <c r="U103" i="6" s="1"/>
  <c r="W39" i="1"/>
  <c r="AJ43" i="1" s="1"/>
  <c r="CD22" i="1"/>
  <c r="AU43" i="1"/>
  <c r="CG22" i="1"/>
  <c r="AX43" i="1"/>
  <c r="GM35" i="1"/>
  <c r="GN35" i="1"/>
  <c r="GM36" i="1"/>
  <c r="GN36" i="1"/>
  <c r="CP24" i="1"/>
  <c r="O24" i="1" s="1"/>
  <c r="G83" i="5" l="1"/>
  <c r="O83" i="5" s="1"/>
  <c r="W83" i="5"/>
  <c r="G16" i="5" s="1"/>
  <c r="AB85" i="6"/>
  <c r="V58" i="5"/>
  <c r="W87" i="6"/>
  <c r="K63" i="5"/>
  <c r="W38" i="6"/>
  <c r="K31" i="5"/>
  <c r="AA85" i="6"/>
  <c r="T58" i="5"/>
  <c r="AD43" i="1"/>
  <c r="W147" i="6"/>
  <c r="G38" i="6"/>
  <c r="G48" i="6"/>
  <c r="G73" i="5"/>
  <c r="O73" i="5" s="1"/>
  <c r="AB109" i="6"/>
  <c r="V72" i="5"/>
  <c r="T83" i="6"/>
  <c r="H83" i="6"/>
  <c r="K57" i="5"/>
  <c r="T109" i="6"/>
  <c r="H109" i="6"/>
  <c r="K72" i="5"/>
  <c r="G94" i="5"/>
  <c r="O94" i="5" s="1"/>
  <c r="W94" i="5"/>
  <c r="H62" i="6"/>
  <c r="AB49" i="6"/>
  <c r="V37" i="5"/>
  <c r="K44" i="5" s="1"/>
  <c r="GK32" i="1"/>
  <c r="X105" i="6"/>
  <c r="T107" i="6"/>
  <c r="H107" i="6"/>
  <c r="K71" i="5"/>
  <c r="W67" i="6"/>
  <c r="K51" i="5"/>
  <c r="J59" i="5" s="1"/>
  <c r="P59" i="5" s="1"/>
  <c r="CP27" i="1"/>
  <c r="O27" i="1" s="1"/>
  <c r="T85" i="6"/>
  <c r="H85" i="6"/>
  <c r="K58" i="5"/>
  <c r="H48" i="6"/>
  <c r="T38" i="6"/>
  <c r="H38" i="6"/>
  <c r="AB129" i="6"/>
  <c r="V82" i="5"/>
  <c r="T82" i="5"/>
  <c r="AA129" i="6"/>
  <c r="K82" i="5"/>
  <c r="T129" i="6"/>
  <c r="H129" i="6"/>
  <c r="AB147" i="6"/>
  <c r="V93" i="5"/>
  <c r="J36" i="5"/>
  <c r="P36" i="5" s="1"/>
  <c r="G47" i="5"/>
  <c r="O47" i="5" s="1"/>
  <c r="G100" i="5" s="1"/>
  <c r="CJ43" i="1"/>
  <c r="G67" i="6"/>
  <c r="G82" i="6"/>
  <c r="AH43" i="1"/>
  <c r="Y103" i="6"/>
  <c r="H111" i="6"/>
  <c r="H126" i="6"/>
  <c r="T111" i="6"/>
  <c r="K79" i="5"/>
  <c r="K55" i="5"/>
  <c r="CP32" i="1"/>
  <c r="O32" i="1" s="1"/>
  <c r="T93" i="5"/>
  <c r="K90" i="5" s="1"/>
  <c r="AA147" i="6"/>
  <c r="H78" i="6"/>
  <c r="AA67" i="6"/>
  <c r="T48" i="5"/>
  <c r="K54" i="5" s="1"/>
  <c r="W49" i="6"/>
  <c r="K40" i="5"/>
  <c r="CP25" i="1"/>
  <c r="O25" i="1" s="1"/>
  <c r="K78" i="5"/>
  <c r="J83" i="5" s="1"/>
  <c r="P83" i="5" s="1"/>
  <c r="CP30" i="1"/>
  <c r="O30" i="1" s="1"/>
  <c r="K91" i="5"/>
  <c r="GK39" i="1"/>
  <c r="X147" i="6"/>
  <c r="T131" i="6"/>
  <c r="H131" i="6"/>
  <c r="H146" i="6"/>
  <c r="T65" i="6"/>
  <c r="H65" i="6"/>
  <c r="K46" i="5"/>
  <c r="AD22" i="1"/>
  <c r="Q43" i="1"/>
  <c r="GM24" i="1"/>
  <c r="GN24" i="1"/>
  <c r="AJ22" i="1"/>
  <c r="W43" i="1"/>
  <c r="AX22" i="1"/>
  <c r="AX75" i="1"/>
  <c r="F50" i="1"/>
  <c r="AG22" i="1"/>
  <c r="T43" i="1"/>
  <c r="GK31" i="1"/>
  <c r="AE43" i="1"/>
  <c r="AO18" i="1"/>
  <c r="F79" i="1"/>
  <c r="CI22" i="1"/>
  <c r="AZ43" i="1"/>
  <c r="CP31" i="1"/>
  <c r="O31" i="1" s="1"/>
  <c r="AQ22" i="1"/>
  <c r="AQ75" i="1"/>
  <c r="F53" i="1"/>
  <c r="CP39" i="1"/>
  <c r="O39" i="1" s="1"/>
  <c r="CY32" i="1"/>
  <c r="X32" i="1" s="1"/>
  <c r="CZ32" i="1"/>
  <c r="Y32" i="1" s="1"/>
  <c r="AP22" i="1"/>
  <c r="AP75" i="1"/>
  <c r="F52" i="1"/>
  <c r="G16" i="2" s="1"/>
  <c r="G18" i="2" s="1"/>
  <c r="AT18" i="1"/>
  <c r="F93" i="1"/>
  <c r="I17" i="5" s="1"/>
  <c r="GN29" i="1"/>
  <c r="AC43" i="1"/>
  <c r="AU22" i="1"/>
  <c r="F62" i="1"/>
  <c r="AU75" i="1"/>
  <c r="AI43" i="1"/>
  <c r="GM29" i="1"/>
  <c r="CY31" i="1"/>
  <c r="X31" i="1" s="1"/>
  <c r="CZ31" i="1"/>
  <c r="Y31" i="1" s="1"/>
  <c r="AF43" i="1"/>
  <c r="GM37" i="1"/>
  <c r="GN37" i="1"/>
  <c r="J94" i="5" l="1"/>
  <c r="P94" i="5" s="1"/>
  <c r="AK43" i="1"/>
  <c r="X43" i="1" s="1"/>
  <c r="AA105" i="6"/>
  <c r="T70" i="5"/>
  <c r="T147" i="6"/>
  <c r="K93" i="5"/>
  <c r="H147" i="6"/>
  <c r="H103" i="6"/>
  <c r="T103" i="6"/>
  <c r="K69" i="5"/>
  <c r="H64" i="6"/>
  <c r="T49" i="6"/>
  <c r="H161" i="6" s="1"/>
  <c r="H49" i="6"/>
  <c r="GN25" i="1"/>
  <c r="GM25" i="1"/>
  <c r="T105" i="6"/>
  <c r="H105" i="6"/>
  <c r="K70" i="5"/>
  <c r="AH22" i="1"/>
  <c r="U43" i="1"/>
  <c r="AA103" i="6"/>
  <c r="T69" i="5"/>
  <c r="K66" i="5" s="1"/>
  <c r="AB103" i="6"/>
  <c r="V69" i="5"/>
  <c r="K67" i="5" s="1"/>
  <c r="GM32" i="1"/>
  <c r="AB105" i="6"/>
  <c r="V70" i="5"/>
  <c r="H87" i="6"/>
  <c r="H102" i="6"/>
  <c r="T87" i="6"/>
  <c r="GN30" i="1"/>
  <c r="GM30" i="1"/>
  <c r="CA43" i="1" s="1"/>
  <c r="CJ22" i="1"/>
  <c r="BA43" i="1"/>
  <c r="T67" i="6"/>
  <c r="H67" i="6"/>
  <c r="H82" i="6"/>
  <c r="GN27" i="1"/>
  <c r="GM27" i="1"/>
  <c r="J47" i="5"/>
  <c r="P47" i="5" s="1"/>
  <c r="G15" i="5"/>
  <c r="AK22" i="1"/>
  <c r="AQ18" i="1"/>
  <c r="F85" i="1"/>
  <c r="Q22" i="1"/>
  <c r="F55" i="1"/>
  <c r="Q75" i="1"/>
  <c r="AF22" i="1"/>
  <c r="S43" i="1"/>
  <c r="AI22" i="1"/>
  <c r="V43" i="1"/>
  <c r="AC22" i="1"/>
  <c r="CH43" i="1"/>
  <c r="CF43" i="1"/>
  <c r="CE43" i="1"/>
  <c r="P43" i="1"/>
  <c r="GN32" i="1"/>
  <c r="AX18" i="1"/>
  <c r="F82" i="1"/>
  <c r="AL43" i="1"/>
  <c r="AU18" i="1"/>
  <c r="F94" i="1"/>
  <c r="AP18" i="1"/>
  <c r="F84" i="1"/>
  <c r="I18" i="5" s="1"/>
  <c r="GN39" i="1"/>
  <c r="GM39" i="1"/>
  <c r="GM31" i="1"/>
  <c r="GN31" i="1"/>
  <c r="AZ22" i="1"/>
  <c r="F54" i="1"/>
  <c r="AZ75" i="1"/>
  <c r="AE22" i="1"/>
  <c r="R43" i="1"/>
  <c r="T22" i="1"/>
  <c r="T75" i="1"/>
  <c r="F64" i="1"/>
  <c r="AB43" i="1"/>
  <c r="W22" i="1"/>
  <c r="F67" i="1"/>
  <c r="W75" i="1"/>
  <c r="J100" i="5" l="1"/>
  <c r="BA22" i="1"/>
  <c r="F63" i="1"/>
  <c r="H16" i="2" s="1"/>
  <c r="H18" i="2" s="1"/>
  <c r="BA75" i="1"/>
  <c r="F65" i="1"/>
  <c r="U75" i="1"/>
  <c r="U22" i="1"/>
  <c r="CB43" i="1"/>
  <c r="H154" i="6"/>
  <c r="J73" i="5"/>
  <c r="P73" i="5" s="1"/>
  <c r="CB22" i="1"/>
  <c r="AS43" i="1"/>
  <c r="AB22" i="1"/>
  <c r="O43" i="1"/>
  <c r="R22" i="1"/>
  <c r="F57" i="1"/>
  <c r="R75" i="1"/>
  <c r="CF22" i="1"/>
  <c r="AW43" i="1"/>
  <c r="X22" i="1"/>
  <c r="F68" i="1"/>
  <c r="X75" i="1"/>
  <c r="CA22" i="1"/>
  <c r="AR43" i="1"/>
  <c r="AL22" i="1"/>
  <c r="Y43" i="1"/>
  <c r="CH22" i="1"/>
  <c r="AY43" i="1"/>
  <c r="S22" i="1"/>
  <c r="S75" i="1"/>
  <c r="F58" i="1"/>
  <c r="J16" i="2" s="1"/>
  <c r="J18" i="2" s="1"/>
  <c r="W18" i="1"/>
  <c r="F99" i="1"/>
  <c r="T18" i="1"/>
  <c r="F96" i="1"/>
  <c r="AZ18" i="1"/>
  <c r="F86" i="1"/>
  <c r="P22" i="1"/>
  <c r="P75" i="1"/>
  <c r="F46" i="1"/>
  <c r="CE22" i="1"/>
  <c r="AV43" i="1"/>
  <c r="V22" i="1"/>
  <c r="V75" i="1"/>
  <c r="F66" i="1"/>
  <c r="Q18" i="1"/>
  <c r="F87" i="1"/>
  <c r="BA18" i="1" l="1"/>
  <c r="F95" i="1"/>
  <c r="I19" i="5" s="1"/>
  <c r="F97" i="1"/>
  <c r="U18" i="1"/>
  <c r="AY22" i="1"/>
  <c r="F51" i="1"/>
  <c r="AY75" i="1"/>
  <c r="AR22" i="1"/>
  <c r="F70" i="1"/>
  <c r="F71" i="1" s="1"/>
  <c r="AR75" i="1"/>
  <c r="AS22" i="1"/>
  <c r="AS75" i="1"/>
  <c r="F60" i="1"/>
  <c r="E16" i="2" s="1"/>
  <c r="P18" i="1"/>
  <c r="F78" i="1"/>
  <c r="AW22" i="1"/>
  <c r="F49" i="1"/>
  <c r="AW75" i="1"/>
  <c r="AV22" i="1"/>
  <c r="F48" i="1"/>
  <c r="AV75" i="1"/>
  <c r="S18" i="1"/>
  <c r="F90" i="1"/>
  <c r="Y22" i="1"/>
  <c r="Y75" i="1"/>
  <c r="F69" i="1"/>
  <c r="X18" i="1"/>
  <c r="F100" i="1"/>
  <c r="O22" i="1"/>
  <c r="O75" i="1"/>
  <c r="F45" i="1"/>
  <c r="V18" i="1"/>
  <c r="F98" i="1"/>
  <c r="R18" i="1"/>
  <c r="F89" i="1"/>
  <c r="I21" i="5" l="1"/>
  <c r="I20" i="5"/>
  <c r="G20" i="5" s="1"/>
  <c r="G157" i="6"/>
  <c r="J101" i="5"/>
  <c r="AY18" i="1"/>
  <c r="F83" i="1"/>
  <c r="O18" i="1"/>
  <c r="F77" i="1"/>
  <c r="AW18" i="1"/>
  <c r="F81" i="1"/>
  <c r="AR18" i="1"/>
  <c r="F102" i="1"/>
  <c r="F31" i="6" s="1"/>
  <c r="Y18" i="1"/>
  <c r="F101" i="1"/>
  <c r="AV18" i="1"/>
  <c r="F80" i="1"/>
  <c r="I16" i="2"/>
  <c r="I18" i="2" s="1"/>
  <c r="E18" i="2"/>
  <c r="F72" i="1"/>
  <c r="AS18" i="1"/>
  <c r="F92" i="1"/>
  <c r="I16" i="5" s="1"/>
  <c r="F73" i="1" l="1"/>
  <c r="J102" i="5"/>
  <c r="G158" i="6"/>
  <c r="G159" i="6" l="1"/>
  <c r="J103" i="5"/>
</calcChain>
</file>

<file path=xl/sharedStrings.xml><?xml version="1.0" encoding="utf-8"?>
<sst xmlns="http://schemas.openxmlformats.org/spreadsheetml/2006/main" count="1959" uniqueCount="397">
  <si>
    <t>Smeta.RU  (495) 974-1589</t>
  </si>
  <si>
    <t>_PS_</t>
  </si>
  <si>
    <t>Smeta.RU</t>
  </si>
  <si>
    <t>НИЯУ МИФИ  Доп. раб. место  MCCS-0027251</t>
  </si>
  <si>
    <t>Новый объект_(Копия)_(Копия)_(Копия)</t>
  </si>
  <si>
    <t>Капитальный ремонт оконных проемов НВПК НИЯУ МИФИ учебный корпус( _счет поставщика)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</si>
  <si>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</si>
  <si>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</si>
  <si>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</si>
  <si>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</si>
  <si>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</si>
  <si>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</si>
  <si>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</si>
  <si>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</si>
  <si>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</si>
  <si>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</si>
  <si>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</si>
  <si>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</si>
  <si>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</si>
  <si>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</si>
  <si>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</si>
  <si>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</si>
  <si>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</si>
  <si>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</si>
  <si>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</si>
  <si>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</si>
  <si>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ФЕР-2001, 10-01-034-08, приказ Минстроя России №1039/пр от 30.12.2016г.</t>
  </si>
  <si>
    <t>)*1,25</t>
  </si>
  <si>
    <t>)*1,15</t>
  </si>
  <si>
    <t>Деревянные конструкции</t>
  </si>
  <si>
    <t>ФЕР-10</t>
  </si>
  <si>
    <t>Поправка: МДС 81-35.2004, п.4.7  Поправка: МДС 81-35.2004, п.4.7</t>
  </si>
  <si>
    <t>2,1</t>
  </si>
  <si>
    <t>Средняя цена коммерческих предложений</t>
  </si>
  <si>
    <t>Оконный блок из ПВХ</t>
  </si>
  <si>
    <t>м2</t>
  </si>
  <si>
    <t>[3 913 / 1,18 /  6,38]</t>
  </si>
  <si>
    <t>3</t>
  </si>
  <si>
    <t>12-01-010-01</t>
  </si>
  <si>
    <t>Устройство мелких покрытий (брандмауэры, парапеты, свесы и т.п.) из листовой оцинкованной стали</t>
  </si>
  <si>
    <t>ФЕР-2001, 12-01-010-01, приказ Минстроя России №1039/пр от 30.12.2016г.</t>
  </si>
  <si>
    <t>Кровли</t>
  </si>
  <si>
    <t>ФЕР-12</t>
  </si>
  <si>
    <t>3,1</t>
  </si>
  <si>
    <t>Водоотлив оконный шириной до 250 мм из оцинкованной стали с полимерным покрытием</t>
  </si>
  <si>
    <t>м</t>
  </si>
  <si>
    <t>[149,33 / 1,18 /  6,38]</t>
  </si>
  <si>
    <t>3,2</t>
  </si>
  <si>
    <t>08.3.05.05-0053</t>
  </si>
  <si>
    <t>Сталь листовая оцинкованная толщиной листа 0,7 мм</t>
  </si>
  <si>
    <t>т</t>
  </si>
  <si>
    <t>ФССЦ-2001, 08.3.05.05-0053, приказ Минстроя России №1039/пр от 30.12.2016г.</t>
  </si>
  <si>
    <t>занесена вручную</t>
  </si>
  <si>
    <t>4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</si>
  <si>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</si>
  <si>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</t>
  </si>
  <si>
    <t>ФЕР-2001, 15-01-050-04, приказ Минстроя России №1039/пр от 30.12.2016г.</t>
  </si>
  <si>
    <t>Отделочные работы</t>
  </si>
  <si>
    <t>ФЕР-15</t>
  </si>
  <si>
    <t>4,1</t>
  </si>
  <si>
    <t>Сэндвич панели для откосов из ПВХ размером 2700х250х10 мм</t>
  </si>
  <si>
    <t>[598 / 1,18 /  6,38]</t>
  </si>
  <si>
    <t>4,2</t>
  </si>
  <si>
    <t>14.2.02.01-0001</t>
  </si>
  <si>
    <t>Клей огнестойкий, марка "Conlit Glue" ROCKWOOL</t>
  </si>
  <si>
    <t>кг</t>
  </si>
  <si>
    <t>ФССЦ-2001, 14.2.02.01-0001, приказ Минстроя России №1039/пр от 30.12.2016г.</t>
  </si>
  <si>
    <t>4,3</t>
  </si>
  <si>
    <t>14.3.01.01-0105</t>
  </si>
  <si>
    <t>Грунтовка: по бетону, марка "WG-Welestrong Sealer"</t>
  </si>
  <si>
    <t>ФССЦ-2001, 14.3.01.01-0105, приказ Минстроя России №1039/пр от 30.12.2016г.</t>
  </si>
  <si>
    <t>4,4</t>
  </si>
  <si>
    <t>14.1.06.05</t>
  </si>
  <si>
    <t>Клей</t>
  </si>
  <si>
    <t>5</t>
  </si>
  <si>
    <t>10-01-036-01</t>
  </si>
  <si>
    <t>Установка уголков ПВХ на клее</t>
  </si>
  <si>
    <t>100 м</t>
  </si>
  <si>
    <t>ФЕР-2001, 10-01-036-01, приказ Минстроя России №1039/пр от 30.12.2016г.</t>
  </si>
  <si>
    <t>5,1</t>
  </si>
  <si>
    <t>11.3.03.13</t>
  </si>
  <si>
    <t>Уголок ПВХ</t>
  </si>
  <si>
    <t>П.М</t>
  </si>
  <si>
    <t>5,2</t>
  </si>
  <si>
    <t>11.3.03.13-0043</t>
  </si>
  <si>
    <t>Уголок ПВХ, размером 20х20 мм</t>
  </si>
  <si>
    <t>10 м</t>
  </si>
  <si>
    <t>ФССЦ-2001, 11.3.03.13-0043, приказ Минстроя России №1039/пр от 30.12.2016г.</t>
  </si>
  <si>
    <t>6</t>
  </si>
  <si>
    <t>10-01-035-01</t>
  </si>
  <si>
    <t>Установка подоконных досок из ПВХ в каменных стенах толщиной до 0,51 м</t>
  </si>
  <si>
    <t>ФЕР-2001, 10-01-035-01, приказ Минстроя России №1039/пр от 30.12.2016г.</t>
  </si>
  <si>
    <t>6,1</t>
  </si>
  <si>
    <t>Доски подоконные ПВХ , шириной 400 мм</t>
  </si>
  <si>
    <t>[1 483,67 / 1,18 /  6,38]</t>
  </si>
  <si>
    <t>7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</si>
  <si>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</si>
  <si>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</si>
  <si>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</si>
  <si>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</si>
  <si>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</si>
  <si>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</si>
  <si>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</si>
  <si>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8</t>
  </si>
  <si>
    <t>т03-01-01-015</t>
  </si>
  <si>
    <t>Перевозка грузов I класса автомобилями бортовыми грузоподъемностью до 15 т на расстояние до 15 км</t>
  </si>
  <si>
    <t>ФССЦпг-2001, т03-01-01-015,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</si>
  <si>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</si>
  <si>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</si>
  <si>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</si>
  <si>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</si>
  <si>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</si>
  <si>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</si>
  <si>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</si>
  <si>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</si>
  <si>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</si>
  <si>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</si>
  <si>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</si>
  <si>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</si>
  <si>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</si>
  <si>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</si>
  <si>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</si>
  <si>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</si>
  <si>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</si>
  <si>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</si>
  <si>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</si>
  <si>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</si>
  <si>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</si>
  <si>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</si>
  <si>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</si>
  <si>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</si>
  <si>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</si>
  <si>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</si>
  <si>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</si>
  <si>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</si>
  <si>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</si>
  <si>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</si>
  <si>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</si>
  <si>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</si>
  <si>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</si>
  <si>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</si>
  <si>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</si>
  <si>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</si>
  <si>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</si>
  <si>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</si>
  <si>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</si>
  <si>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</si>
  <si>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</si>
  <si>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</si>
  <si>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</si>
  <si>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</si>
  <si>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</si>
  <si>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</si>
  <si>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</si>
  <si>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</si>
  <si>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</si>
  <si>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</si>
  <si>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</si>
  <si>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</si>
  <si>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</si>
  <si>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</si>
  <si>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</si>
  <si>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</si>
  <si>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</si>
  <si>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</si>
  <si>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</si>
  <si>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</si>
  <si>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</si>
  <si>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</si>
  <si>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</si>
  <si>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</si>
  <si>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</si>
  <si>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</si>
  <si>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</si>
  <si>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</si>
  <si>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</si>
  <si>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</si>
  <si>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</si>
  <si>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</si>
  <si>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</si>
  <si>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</si>
  <si>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</si>
  <si>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</si>
  <si>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</si>
  <si>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</si>
  <si>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</si>
  <si>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</si>
  <si>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</si>
  <si>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</si>
  <si>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</si>
  <si>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</si>
  <si>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</si>
  <si>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</si>
  <si>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</si>
  <si>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</si>
  <si>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</si>
  <si>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</si>
  <si>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</si>
  <si>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</si>
  <si>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</si>
  <si>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</si>
  <si>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</si>
  <si>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</si>
  <si>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</si>
  <si>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</si>
  <si>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</si>
  <si>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</si>
  <si>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</si>
  <si>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</si>
  <si>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</si>
  <si>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</si>
  <si>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</si>
  <si>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</si>
  <si>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</si>
  <si>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</si>
  <si>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</si>
  <si>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</si>
  <si>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</si>
  <si>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</si>
  <si>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</si>
  <si>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</si>
  <si>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</si>
  <si>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</si>
  <si>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</si>
  <si>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</si>
  <si>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</si>
  <si>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</si>
  <si>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</si>
  <si>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</si>
  <si>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</si>
  <si>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</si>
  <si>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</si>
  <si>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</si>
  <si>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</si>
  <si>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</si>
  <si>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</si>
  <si>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</si>
  <si>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</si>
  <si>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</si>
  <si>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</si>
  <si>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1-100-32</t>
  </si>
  <si>
    <t>Рабочий среднего разряда 3.2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</si>
  <si>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</si>
  <si>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</si>
  <si>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</si>
  <si>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</si>
  <si>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</si>
  <si>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</si>
  <si>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</si>
  <si>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</si>
  <si>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</si>
  <si>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</si>
  <si>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</si>
  <si>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</si>
  <si>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</si>
  <si>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</si>
  <si>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</si>
  <si>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10 шт.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</si>
  <si>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</si>
  <si>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</si>
  <si>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</si>
  <si>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100 шт.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</si>
  <si>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</si>
  <si>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</si>
  <si>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</si>
  <si>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шт.</t>
  </si>
  <si>
    <t>1-100-30</t>
  </si>
  <si>
    <t>Рабочий среднего разряда 3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</si>
  <si>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</si>
  <si>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</si>
  <si>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</si>
  <si>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</si>
  <si>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</si>
  <si>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</si>
  <si>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</si>
  <si>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</si>
  <si>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</si>
  <si>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1-100-36</t>
  </si>
  <si>
    <t>Рабочий среднего разряда 3.6</t>
  </si>
  <si>
    <t>01.7.20.08-0051</t>
  </si>
  <si>
    <t>ФССЦ-2001, 01.7.20.08-0051, приказ Минстроя России №1039/пр от 30.12.2016г.</t>
  </si>
  <si>
    <t>Ветошь</t>
  </si>
  <si>
    <t>14.1.04.02-0011</t>
  </si>
  <si>
    <t>ФССЦ-2001, 14.1.04.02-0011, приказ Минстроя России №1039/пр от 30.12.2016г.</t>
  </si>
  <si>
    <t>Клей резиновый № 88-Н</t>
  </si>
  <si>
    <t>11.3.02.03</t>
  </si>
  <si>
    <t>Блоки оконные пластиковые</t>
  </si>
  <si>
    <t>01.6.01.11</t>
  </si>
  <si>
    <t>Листы облицовочные декоративные</t>
  </si>
  <si>
    <t>14.4.01.21</t>
  </si>
  <si>
    <t>Грунтовка</t>
  </si>
  <si>
    <t>11.3.03.01</t>
  </si>
  <si>
    <t>Доски подоконные ПВХ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</si>
  <si>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</si>
  <si>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</si>
  <si>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</si>
  <si>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</si>
  <si>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</si>
  <si>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</si>
  <si>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</si>
  <si>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</si>
  <si>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</si>
  <si>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</si>
  <si>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</si>
  <si>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</si>
  <si>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</si>
  <si>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</si>
  <si>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</si>
  <si>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</si>
  <si>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</si>
  <si>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</si>
  <si>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</si>
  <si>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</si>
  <si>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</si>
  <si>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</si>
  <si>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</si>
  <si>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</si>
  <si>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</si>
  <si>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</si>
  <si>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</si>
  <si>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</si>
  <si>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</si>
  <si>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</si>
  <si>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</si>
  <si>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</si>
  <si>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</si>
  <si>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</si>
  <si>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Оконный блок из ПВХ</t>
    </r>
    <r>
      <rPr>
        <i/>
        <sz val="10"/>
        <rFont val="Arial"/>
        <family val="2"/>
        <charset val="204"/>
      </rPr>
      <t xml:space="preserve">
Базисная стоимость: 519,77 = [3 913 / 1,18 /  6,38]</t>
    </r>
  </si>
  <si>
    <r>
      <t>Водоотлив оконный шириной до 250 мм из оцинкованной стали с полимерным покрытием</t>
    </r>
    <r>
      <rPr>
        <i/>
        <sz val="10"/>
        <rFont val="Arial"/>
        <family val="2"/>
        <charset val="204"/>
      </rPr>
      <t xml:space="preserve">
Базисная стоимость: 19,84 = [149,33 / 1,18 /  6,38]</t>
    </r>
  </si>
  <si>
    <r>
      <t>Сэндвич панели для откосов из ПВХ размером 2700х250х10 мм</t>
    </r>
    <r>
      <rPr>
        <i/>
        <sz val="10"/>
        <rFont val="Arial"/>
        <family val="2"/>
        <charset val="204"/>
      </rPr>
      <t xml:space="preserve">
Базисная стоимость: 79,43 = [598 / 1,18 /  6,38]</t>
    </r>
  </si>
  <si>
    <r>
      <t>Доски подоконные ПВХ , шириной 400 мм</t>
    </r>
    <r>
      <rPr>
        <i/>
        <sz val="10"/>
        <rFont val="Arial"/>
        <family val="2"/>
        <charset val="204"/>
      </rPr>
      <t xml:space="preserve">
Базисная стоимость: 197,08 = [1 483,67 / 1,18 /  6,38]</t>
    </r>
  </si>
  <si>
    <t xml:space="preserve"> 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</si>
  <si>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</si>
  <si>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</si>
  <si>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</si>
  <si>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</si>
  <si>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</si>
  <si>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</si>
  <si>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</si>
  <si>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</si>
  <si>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</si>
  <si>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</si>
  <si>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</si>
  <si>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</si>
  <si>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</si>
  <si>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</si>
  <si>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</si>
  <si>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</si>
  <si>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</si>
  <si>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</si>
  <si>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</si>
  <si>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</si>
  <si>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</si>
  <si>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</si>
  <si>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</si>
  <si>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</si>
  <si>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</si>
  <si>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</si>
  <si>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</si>
  <si>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</si>
  <si>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</si>
  <si>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</si>
  <si>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</si>
  <si>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</si>
  <si>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</si>
  <si>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</si>
  <si>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</si>
  <si>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</si>
  <si>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</si>
  <si>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</si>
  <si>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</si>
  <si>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</si>
  <si>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</si>
  <si>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</si>
  <si>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</si>
  <si>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</si>
  <si>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</si>
  <si>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</si>
  <si>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</si>
  <si>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</si>
  <si>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</si>
  <si>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</si>
  <si>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</si>
  <si>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</si>
  <si>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</si>
  <si>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Исключен
Сталь листовая оцинкованная толщиной листа 0,7 мм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</si>
  <si>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</si>
  <si>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</si>
  <si>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</si>
  <si>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</si>
  <si>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</si>
  <si>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</si>
  <si>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</si>
  <si>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</si>
  <si>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 xml:space="preserve"> по капитальному ремонту оконных проемов с заменой деревянных оконных блоков на оконные блоки из ПВХ на лестничных клетках с второго по четвертый этажи,в кабинетах № 8, № 1,   аудиториях № 7, № 6,№ 5,№ 3,№ 15,№ 16,№ 18, № 11, препараторских № 4,№ 17 четвертого этажа здания учебного корпуса Нововоронежского политехнического колледжа -                                                   филиала  НИЯУ МИФИ  (НВПК НИЯУ МИФИ) по адреcу:  Воронежская обл.,  г. Нововоронеж, ул. Октябрьская, д.1                 
</t>
  </si>
  <si>
    <t xml:space="preserve">Капитальный ремонт оконных проемов с заменой деревянных оконных блоков на оконные блоки из ПВХ в кабинетах №8,№1, аудиториях №7, №6, №5, №3, №15, №16, №18, №11, препараторских № 4, № 17 четвертого учебного корпуса Нововоронежского политехнического колледжа - филиала  НИЯУ МИФИ  (НВПК НИЯУ МИФИ) по адреcу:  Воронежская обл.,  г. Нововоронеж, ул. Октябрьская, д.1  </t>
  </si>
  <si>
    <t>ПРИЛОЖЕНИЕ 1 к ФОРМЕ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</si>
</sst>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20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11" fillId="0" borderId="0" xfId="0" applyNumberFormat="1" applyFont="1"/>
    <xf numFmtId="0" fontId="9" fillId="0" borderId="0" xfId="0" applyFont="1" applyAlignment="1">
      <alignment wrapText="1"/>
    </xf>
    <xf numFmtId="164" fontId="0" fillId="0" borderId="0" xfId="0" applyNumberFormat="1"/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6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6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wrapText="1"/>
    </xf>
    <xf numFmtId="0" fontId="14" fillId="0" borderId="0" xfId="0" applyFont="1" applyAlignment="1">
      <alignment horizontal="left" wrapText="1"/>
    </xf>
    <xf numFmtId="0" fontId="11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4" fontId="9" fillId="0" borderId="0" xfId="0" applyNumberFormat="1" applyFont="1" applyAlignment="1">
      <alignment horizontal="right" wrapText="1"/>
    </xf>
    <xf numFmtId="0" fontId="14" fillId="0" borderId="0" xfId="0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1" fillId="0" borderId="14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top" shrinkToFit="1"/>
    </xf>
    <xf numFmtId="0" fontId="19" fillId="0" borderId="0" xfId="0" applyFont="1"/>
    <xf numFmtId="0" fontId="1" fillId="0" borderId="0" xfId="0" applyFont="1" applyAlignment="1">
      <alignment wrapText="1"/>
    </xf>
    <xf numFmtId="0" fontId="10" fillId="0" borderId="0" xfId="0" applyFont="1" applyAlignment="1">
      <alignment horizontal="right" vertical="center"/>
    </xf>
    <xf numFmtId="0" fontId="0" fillId="0" borderId="0" xfId="0" applyBorder="1"/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right"/>
    </xf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164" fontId="14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0" fontId="12" fillId="0" borderId="0" xfId="0" applyFont="1" applyAlignment="1">
      <alignment horizontal="center" wrapText="1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0" fontId="10" fillId="0" borderId="0" xfId="0" applyFont="1" applyBorder="1" applyAlignment="1">
      <alignment horizontal="center" vertical="top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5" fillId="0" borderId="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vertical="center" shrinkToFit="1"/>
    </xf>
    <xf numFmtId="0" fontId="11" fillId="0" borderId="14" xfId="0" applyFont="1" applyBorder="1" applyAlignment="1">
      <alignment horizontal="left" vertical="center" shrinkToFit="1"/>
    </xf>
    <xf numFmtId="0" fontId="10" fillId="0" borderId="15" xfId="0" applyFont="1" applyBorder="1" applyAlignment="1">
      <alignment horizontal="center" vertical="top" shrinkToFit="1"/>
    </xf>
    <xf numFmtId="0" fontId="9" fillId="0" borderId="0" xfId="0" quotePrefix="1" applyFont="1" applyAlignment="1">
      <alignment wrapText="1"/>
    </xf>
    <xf numFmtId="164" fontId="14" fillId="0" borderId="2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8" xfId="0" applyFont="1" applyBorder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left"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1" fillId="0" borderId="5" xfId="0" quotePrefix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4"/>
  <sheetViews>
    <sheetView tabSelected="1" zoomScaleNormal="100" workbookViewId="0">
      <selection activeCell="N13" sqref="N13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10" t="str">
        <f>Source!B1</f>
        <v>Smeta.RU  (495) 974-1589</v>
      </c>
      <c r="H1" s="10" t="s">
        <v>396</v>
      </c>
    </row>
    <row r="2" spans="1:30" ht="14.25" x14ac:dyDescent="0.2">
      <c r="A2" s="11"/>
      <c r="B2" s="11"/>
      <c r="C2" s="11"/>
      <c r="D2" s="11"/>
      <c r="E2" s="11"/>
      <c r="F2" s="11"/>
      <c r="G2" s="11"/>
      <c r="H2" s="11"/>
      <c r="I2" s="65"/>
      <c r="J2" s="11"/>
      <c r="K2" s="12"/>
      <c r="L2" s="12"/>
    </row>
    <row r="3" spans="1:30" ht="14.25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30" ht="15.75" x14ac:dyDescent="0.25">
      <c r="A4" s="15"/>
      <c r="B4" s="84" t="s">
        <v>393</v>
      </c>
      <c r="C4" s="84"/>
      <c r="D4" s="84"/>
      <c r="E4" s="84"/>
      <c r="F4" s="84"/>
      <c r="G4" s="84"/>
      <c r="H4" s="84"/>
      <c r="I4" s="84"/>
      <c r="J4" s="84"/>
      <c r="K4" s="84"/>
      <c r="L4" s="15"/>
    </row>
    <row r="5" spans="1:30" ht="15.75" x14ac:dyDescent="0.25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5"/>
    </row>
    <row r="6" spans="1:30" ht="18" hidden="1" x14ac:dyDescent="0.25">
      <c r="A6" s="15"/>
      <c r="B6" s="85"/>
      <c r="C6" s="85"/>
      <c r="D6" s="85"/>
      <c r="E6" s="85"/>
      <c r="F6" s="85"/>
      <c r="G6" s="85"/>
      <c r="H6" s="85"/>
      <c r="I6" s="85"/>
      <c r="J6" s="85"/>
      <c r="K6" s="85"/>
      <c r="L6" s="15"/>
    </row>
    <row r="7" spans="1:30" ht="14.25" hidden="1" x14ac:dyDescent="0.2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</row>
    <row r="8" spans="1:30" ht="108" x14ac:dyDescent="0.25">
      <c r="A8" s="12"/>
      <c r="B8" s="86" t="s">
        <v>395</v>
      </c>
      <c r="C8" s="86"/>
      <c r="D8" s="86"/>
      <c r="E8" s="86"/>
      <c r="F8" s="86"/>
      <c r="G8" s="86"/>
      <c r="H8" s="86"/>
      <c r="I8" s="86"/>
      <c r="J8" s="86"/>
      <c r="K8" s="86"/>
      <c r="L8" s="17"/>
      <c r="AD8" s="49" t="str">
        <f>IF(Source!G12&lt;&gt;"Новый объект", Source!G12, "")</f>
        <v xml:space="preserve"> по капитальному ремонту оконных проемов с заменой деревянных оконных блоков на оконные блоки из ПВХ на лестничных клетках с второго по четвертый этажи,в кабинетах № 8, № 1,   аудиториях № 7, № 6,№ 5,№ 3,№ 15,№ 16,№ 18, № 11, препараторских № 4,№ 17 четвертого этажа здания учебного корпуса Нововоронежского политехнического колледжа -                                                   филиала  НИЯУ МИФИ  (НВПК НИЯУ МИФИ) по адреcу:  Воронежская обл.,  г. Нововоронеж, ул. Октябрьская, д.1                 
</v>
      </c>
    </row>
    <row r="9" spans="1:30" ht="14.25" x14ac:dyDescent="0.2">
      <c r="A9" s="12"/>
      <c r="B9" s="87" t="s">
        <v>294</v>
      </c>
      <c r="C9" s="87"/>
      <c r="D9" s="87"/>
      <c r="E9" s="87"/>
      <c r="F9" s="87"/>
      <c r="G9" s="87"/>
      <c r="H9" s="87"/>
      <c r="I9" s="87"/>
      <c r="J9" s="87"/>
      <c r="K9" s="87"/>
      <c r="L9" s="14"/>
    </row>
    <row r="10" spans="1:30" ht="14.25" x14ac:dyDescent="0.2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30" ht="14.25" x14ac:dyDescent="0.2">
      <c r="A11" s="88" t="str">
        <f>CONCATENATE("Основание: ", Source!J12)</f>
        <v xml:space="preserve">Основание: 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</row>
    <row r="12" spans="1:30" ht="14.25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30" ht="14.25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30" ht="14.25" x14ac:dyDescent="0.2">
      <c r="A14" s="12"/>
      <c r="B14" s="12"/>
      <c r="C14" s="12"/>
      <c r="D14" s="12"/>
      <c r="E14" s="18"/>
      <c r="F14" s="18"/>
      <c r="G14" s="83" t="s">
        <v>295</v>
      </c>
      <c r="H14" s="83"/>
      <c r="I14" s="83" t="s">
        <v>296</v>
      </c>
      <c r="J14" s="83"/>
      <c r="K14" s="12"/>
      <c r="L14" s="12"/>
    </row>
    <row r="15" spans="1:30" ht="15" x14ac:dyDescent="0.25">
      <c r="A15" s="12"/>
      <c r="B15" s="12"/>
      <c r="C15" s="78" t="s">
        <v>297</v>
      </c>
      <c r="D15" s="78"/>
      <c r="E15" s="78"/>
      <c r="F15" s="78"/>
      <c r="G15" s="79">
        <f>SUM(O1:O104)/1000</f>
        <v>125.73446000000003</v>
      </c>
      <c r="H15" s="79"/>
      <c r="I15" s="79">
        <v>946.77</v>
      </c>
      <c r="J15" s="79"/>
      <c r="K15" s="80" t="s">
        <v>298</v>
      </c>
      <c r="L15" s="80"/>
    </row>
    <row r="16" spans="1:30" ht="14.25" x14ac:dyDescent="0.2">
      <c r="A16" s="12"/>
      <c r="B16" s="12"/>
      <c r="C16" s="82" t="s">
        <v>299</v>
      </c>
      <c r="D16" s="82"/>
      <c r="E16" s="82"/>
      <c r="F16" s="82"/>
      <c r="G16" s="79">
        <f>SUM(W1:W104)/1000</f>
        <v>125.73446</v>
      </c>
      <c r="H16" s="79"/>
      <c r="I16" s="79">
        <f>(Source!F92)/1000</f>
        <v>802.34400000000005</v>
      </c>
      <c r="J16" s="79"/>
      <c r="K16" s="80" t="s">
        <v>298</v>
      </c>
      <c r="L16" s="80"/>
    </row>
    <row r="17" spans="1:22" ht="14.25" x14ac:dyDescent="0.2">
      <c r="A17" s="12"/>
      <c r="B17" s="12"/>
      <c r="C17" s="82" t="s">
        <v>300</v>
      </c>
      <c r="D17" s="82"/>
      <c r="E17" s="82"/>
      <c r="F17" s="82"/>
      <c r="G17" s="79">
        <f>SUM(X1:X104)/1000</f>
        <v>0</v>
      </c>
      <c r="H17" s="79"/>
      <c r="I17" s="79">
        <f>(Source!F93)/1000</f>
        <v>0</v>
      </c>
      <c r="J17" s="79"/>
      <c r="K17" s="80" t="s">
        <v>298</v>
      </c>
      <c r="L17" s="80"/>
    </row>
    <row r="18" spans="1:22" ht="14.25" x14ac:dyDescent="0.2">
      <c r="A18" s="12"/>
      <c r="B18" s="12"/>
      <c r="C18" s="82" t="s">
        <v>301</v>
      </c>
      <c r="D18" s="82"/>
      <c r="E18" s="82"/>
      <c r="F18" s="82"/>
      <c r="G18" s="79">
        <f>SUM(Y1:Y104)/1000</f>
        <v>0</v>
      </c>
      <c r="H18" s="79"/>
      <c r="I18" s="79">
        <f>(Source!F84)/1000</f>
        <v>0</v>
      </c>
      <c r="J18" s="79"/>
      <c r="K18" s="80" t="s">
        <v>298</v>
      </c>
      <c r="L18" s="80"/>
    </row>
    <row r="19" spans="1:22" ht="14.25" x14ac:dyDescent="0.2">
      <c r="A19" s="12"/>
      <c r="B19" s="12"/>
      <c r="C19" s="82" t="s">
        <v>302</v>
      </c>
      <c r="D19" s="82"/>
      <c r="E19" s="82"/>
      <c r="F19" s="82"/>
      <c r="G19" s="79">
        <f>SUM(Z1:Z104)/1000</f>
        <v>0</v>
      </c>
      <c r="H19" s="79"/>
      <c r="I19" s="79">
        <f>(Source!F94+Source!F95)/1000</f>
        <v>0</v>
      </c>
      <c r="J19" s="79"/>
      <c r="K19" s="80" t="s">
        <v>298</v>
      </c>
      <c r="L19" s="80"/>
    </row>
    <row r="20" spans="1:22" ht="15" x14ac:dyDescent="0.25">
      <c r="A20" s="12"/>
      <c r="B20" s="12"/>
      <c r="C20" s="78" t="s">
        <v>303</v>
      </c>
      <c r="D20" s="78"/>
      <c r="E20" s="78"/>
      <c r="F20" s="78"/>
      <c r="G20" s="79">
        <f>I20</f>
        <v>660.07762445000003</v>
      </c>
      <c r="H20" s="79"/>
      <c r="I20" s="79">
        <f>(Source!F97+Source!F98)</f>
        <v>660.07762445000003</v>
      </c>
      <c r="J20" s="79"/>
      <c r="K20" s="80" t="s">
        <v>304</v>
      </c>
      <c r="L20" s="80"/>
    </row>
    <row r="21" spans="1:22" ht="15" x14ac:dyDescent="0.25">
      <c r="A21" s="12"/>
      <c r="B21" s="12"/>
      <c r="C21" s="78" t="s">
        <v>305</v>
      </c>
      <c r="D21" s="78"/>
      <c r="E21" s="78"/>
      <c r="F21" s="78"/>
      <c r="G21" s="79">
        <f>SUM(R1:R104)/1000</f>
        <v>5.7262999999999984</v>
      </c>
      <c r="H21" s="79"/>
      <c r="I21" s="79">
        <f>(Source!F90+ Source!F89)/1000</f>
        <v>36.533720000000002</v>
      </c>
      <c r="J21" s="79"/>
      <c r="K21" s="80" t="s">
        <v>298</v>
      </c>
      <c r="L21" s="80"/>
    </row>
    <row r="22" spans="1:22" ht="14.25" x14ac:dyDescent="0.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2" ht="14.25" x14ac:dyDescent="0.2">
      <c r="A23" s="81" t="s">
        <v>318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</row>
    <row r="24" spans="1:22" ht="57" x14ac:dyDescent="0.2">
      <c r="A24" s="19" t="s">
        <v>306</v>
      </c>
      <c r="B24" s="19" t="s">
        <v>307</v>
      </c>
      <c r="C24" s="19" t="s">
        <v>308</v>
      </c>
      <c r="D24" s="19" t="s">
        <v>309</v>
      </c>
      <c r="E24" s="19" t="s">
        <v>310</v>
      </c>
      <c r="F24" s="19" t="s">
        <v>311</v>
      </c>
      <c r="G24" s="19" t="s">
        <v>312</v>
      </c>
      <c r="H24" s="19" t="s">
        <v>313</v>
      </c>
      <c r="I24" s="19" t="s">
        <v>314</v>
      </c>
      <c r="J24" s="19" t="s">
        <v>315</v>
      </c>
      <c r="K24" s="19" t="s">
        <v>316</v>
      </c>
      <c r="L24" s="19" t="s">
        <v>317</v>
      </c>
    </row>
    <row r="25" spans="1:22" ht="14.25" x14ac:dyDescent="0.2">
      <c r="A25" s="20">
        <v>1</v>
      </c>
      <c r="B25" s="20">
        <v>2</v>
      </c>
      <c r="C25" s="20">
        <v>3</v>
      </c>
      <c r="D25" s="20">
        <v>4</v>
      </c>
      <c r="E25" s="20">
        <v>5</v>
      </c>
      <c r="F25" s="20">
        <v>6</v>
      </c>
      <c r="G25" s="20">
        <v>7</v>
      </c>
      <c r="H25" s="20">
        <v>8</v>
      </c>
      <c r="I25" s="20">
        <v>9</v>
      </c>
      <c r="J25" s="20">
        <v>10</v>
      </c>
      <c r="K25" s="20">
        <v>11</v>
      </c>
      <c r="L25" s="21">
        <v>12</v>
      </c>
    </row>
    <row r="27" spans="1:22" ht="16.5" x14ac:dyDescent="0.25">
      <c r="A27" s="74" t="str">
        <f>CONCATENATE("Локальная смета: ",IF(Source!G20&lt;&gt;"Новая локальная смета", Source!G20, ""))</f>
        <v xml:space="preserve">Локальная смета: 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</row>
    <row r="28" spans="1:22" ht="42.75" x14ac:dyDescent="0.2">
      <c r="A28" s="45" t="str">
        <f>Source!E24</f>
        <v>1</v>
      </c>
      <c r="B28" s="46" t="str">
        <f>Source!F24</f>
        <v>46-04-012-01</v>
      </c>
      <c r="C28" s="46" t="str">
        <f>Source!G24</f>
        <v>Разборка деревянных заполнений проемов оконных с подоконными досками</v>
      </c>
      <c r="D28" s="29" t="str">
        <f>Source!H24</f>
        <v>100 м2</v>
      </c>
      <c r="E28" s="11">
        <f>Source!I24</f>
        <v>1.3179000000000001</v>
      </c>
      <c r="F28" s="30">
        <f>Source!AL24+Source!AM24+Source!AO24</f>
        <v>1767.24</v>
      </c>
      <c r="G28" s="31"/>
      <c r="H28" s="30"/>
      <c r="I28" s="31" t="str">
        <f>Source!BO24</f>
        <v/>
      </c>
      <c r="J28" s="31"/>
      <c r="K28" s="30"/>
      <c r="L28" s="32"/>
      <c r="S28">
        <f>ROUND((Source!FX24/100)*((ROUND(Source!AF24*Source!I24, 2)+ROUND(Source!AE24*Source!I24, 2))), 2)</f>
        <v>2126.41</v>
      </c>
      <c r="T28">
        <f>Source!X24</f>
        <v>13566.48</v>
      </c>
      <c r="U28">
        <f>ROUND((Source!FY24/100)*((ROUND(Source!AF24*Source!I24, 2)+ROUND(Source!AE24*Source!I24, 2))), 2)</f>
        <v>1277.99</v>
      </c>
      <c r="V28">
        <f>Source!Y24</f>
        <v>8222.11</v>
      </c>
    </row>
    <row r="29" spans="1:22" x14ac:dyDescent="0.2">
      <c r="C29" s="23" t="str">
        <f>"Объем: "&amp;Source!I24&amp;"=131,79/"&amp;"100"</f>
        <v>Объем: 1,3179=131,79/100</v>
      </c>
    </row>
    <row r="30" spans="1:22" ht="14.25" x14ac:dyDescent="0.2">
      <c r="A30" s="45"/>
      <c r="B30" s="46"/>
      <c r="C30" s="46" t="s">
        <v>319</v>
      </c>
      <c r="D30" s="29"/>
      <c r="E30" s="11"/>
      <c r="F30" s="30">
        <f>Source!AO24</f>
        <v>1525.29</v>
      </c>
      <c r="G30" s="31" t="str">
        <f>Source!DG24</f>
        <v/>
      </c>
      <c r="H30" s="30">
        <f>ROUND(Source!AF24*Source!I24, 2)</f>
        <v>2010.18</v>
      </c>
      <c r="I30" s="31"/>
      <c r="J30" s="31">
        <f>IF(Source!BA24&lt;&gt; 0, Source!BA24, 1)</f>
        <v>6.38</v>
      </c>
      <c r="K30" s="30">
        <f>Source!S24</f>
        <v>12824.95</v>
      </c>
      <c r="L30" s="32"/>
      <c r="R30">
        <f>H30</f>
        <v>2010.18</v>
      </c>
    </row>
    <row r="31" spans="1:22" ht="14.25" x14ac:dyDescent="0.2">
      <c r="A31" s="45"/>
      <c r="B31" s="46"/>
      <c r="C31" s="46" t="s">
        <v>131</v>
      </c>
      <c r="D31" s="29"/>
      <c r="E31" s="11"/>
      <c r="F31" s="30">
        <f>Source!AM24</f>
        <v>241.95</v>
      </c>
      <c r="G31" s="31" t="str">
        <f>Source!DE24</f>
        <v/>
      </c>
      <c r="H31" s="30">
        <f>ROUND(Source!AD24*Source!I24, 2)</f>
        <v>318.87</v>
      </c>
      <c r="I31" s="31"/>
      <c r="J31" s="31">
        <f>IF(Source!BB24&lt;&gt; 0, Source!BB24, 1)</f>
        <v>6.38</v>
      </c>
      <c r="K31" s="30">
        <f>Source!Q24</f>
        <v>2034.36</v>
      </c>
      <c r="L31" s="32"/>
    </row>
    <row r="32" spans="1:22" ht="14.25" x14ac:dyDescent="0.2">
      <c r="A32" s="45"/>
      <c r="B32" s="46"/>
      <c r="C32" s="46" t="s">
        <v>320</v>
      </c>
      <c r="D32" s="29"/>
      <c r="E32" s="11"/>
      <c r="F32" s="30">
        <f>Source!AN24</f>
        <v>104.49</v>
      </c>
      <c r="G32" s="31" t="str">
        <f>Source!DF24</f>
        <v/>
      </c>
      <c r="H32" s="33">
        <f>ROUND(Source!AE24*Source!I24, 2)</f>
        <v>137.71</v>
      </c>
      <c r="I32" s="31"/>
      <c r="J32" s="31">
        <f>IF(Source!BS24&lt;&gt; 0, Source!BS24, 1)</f>
        <v>6.38</v>
      </c>
      <c r="K32" s="33">
        <f>Source!R24</f>
        <v>878.57</v>
      </c>
      <c r="L32" s="32"/>
      <c r="R32">
        <f>H32</f>
        <v>137.71</v>
      </c>
    </row>
    <row r="33" spans="1:26" ht="14.25" x14ac:dyDescent="0.2">
      <c r="A33" s="45"/>
      <c r="B33" s="46"/>
      <c r="C33" s="46" t="s">
        <v>321</v>
      </c>
      <c r="D33" s="29" t="s">
        <v>322</v>
      </c>
      <c r="E33" s="11">
        <f>Source!BZ24</f>
        <v>110</v>
      </c>
      <c r="F33" s="72" t="str">
        <f>CONCATENATE(" )", Source!DL24, Source!FT24, "=", Source!FX24)</f>
        <v xml:space="preserve"> )*0,9=99</v>
      </c>
      <c r="G33" s="73"/>
      <c r="H33" s="30">
        <f>SUM(S28:S35)</f>
        <v>2126.41</v>
      </c>
      <c r="I33" s="34"/>
      <c r="J33" s="27">
        <f>Source!AT24</f>
        <v>99</v>
      </c>
      <c r="K33" s="30">
        <f>SUM(T28:T35)</f>
        <v>13566.48</v>
      </c>
      <c r="L33" s="32"/>
    </row>
    <row r="34" spans="1:26" ht="14.25" x14ac:dyDescent="0.2">
      <c r="A34" s="45"/>
      <c r="B34" s="46"/>
      <c r="C34" s="46" t="s">
        <v>323</v>
      </c>
      <c r="D34" s="29" t="s">
        <v>322</v>
      </c>
      <c r="E34" s="11">
        <f>Source!CA24</f>
        <v>70</v>
      </c>
      <c r="F34" s="72" t="str">
        <f>CONCATENATE(" )", Source!DM24, Source!FU24, "=", Source!FY24)</f>
        <v xml:space="preserve"> )*0,85=59,5</v>
      </c>
      <c r="G34" s="73"/>
      <c r="H34" s="30">
        <f>SUM(U28:U35)</f>
        <v>1277.99</v>
      </c>
      <c r="I34" s="34"/>
      <c r="J34" s="27">
        <f>Source!AU24</f>
        <v>60</v>
      </c>
      <c r="K34" s="30">
        <f>SUM(V28:V35)</f>
        <v>8222.11</v>
      </c>
      <c r="L34" s="32"/>
    </row>
    <row r="35" spans="1:26" ht="14.25" x14ac:dyDescent="0.2">
      <c r="A35" s="47"/>
      <c r="B35" s="48"/>
      <c r="C35" s="48" t="s">
        <v>324</v>
      </c>
      <c r="D35" s="35" t="s">
        <v>325</v>
      </c>
      <c r="E35" s="36">
        <f>Source!AQ24</f>
        <v>188.54</v>
      </c>
      <c r="F35" s="37"/>
      <c r="G35" s="38" t="str">
        <f>Source!DI24</f>
        <v/>
      </c>
      <c r="H35" s="37"/>
      <c r="I35" s="38"/>
      <c r="J35" s="38"/>
      <c r="K35" s="37"/>
      <c r="L35" s="39">
        <f>Source!U24</f>
        <v>248.476866</v>
      </c>
    </row>
    <row r="36" spans="1:26" ht="15" x14ac:dyDescent="0.25">
      <c r="G36" s="71">
        <f>H30+H31+H33+H34</f>
        <v>5733.45</v>
      </c>
      <c r="H36" s="71"/>
      <c r="J36" s="71">
        <f>K30+K31+K33+K34</f>
        <v>36647.9</v>
      </c>
      <c r="K36" s="71"/>
      <c r="L36" s="40">
        <f>Source!U24</f>
        <v>248.476866</v>
      </c>
      <c r="O36" s="24">
        <f>G36</f>
        <v>5733.45</v>
      </c>
      <c r="P36" s="24">
        <f>J36</f>
        <v>36647.9</v>
      </c>
      <c r="Q36" s="24">
        <f>L36</f>
        <v>248.476866</v>
      </c>
      <c r="W36">
        <f>IF(Source!BI24&lt;=1,H30+H31+H33+H34, 0)</f>
        <v>5733.45</v>
      </c>
      <c r="X36">
        <f>IF(Source!BI24=2,H30+H31+H33+H34, 0)</f>
        <v>0</v>
      </c>
      <c r="Y36">
        <f>IF(Source!BI24=3,H30+H31+H33+H34, 0)</f>
        <v>0</v>
      </c>
      <c r="Z36">
        <f>IF(Source!BI24=4,H30+H31+H33+H34, 0)</f>
        <v>0</v>
      </c>
    </row>
    <row r="37" spans="1:26" ht="99.75" x14ac:dyDescent="0.2">
      <c r="A37" s="45" t="str">
        <f>Source!E25</f>
        <v>2</v>
      </c>
      <c r="B37" s="46" t="str">
        <f>Source!F25</f>
        <v>10-01-034-08</v>
      </c>
      <c r="C37" s="46" t="str">
        <f>Source!G25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37" s="29" t="str">
        <f>Source!H25</f>
        <v>100 м2</v>
      </c>
      <c r="E37" s="11">
        <f>Source!I25</f>
        <v>1.3179000000000001</v>
      </c>
      <c r="F37" s="30">
        <f>Source!AL25+Source!AM25+Source!AO25</f>
        <v>10107.89</v>
      </c>
      <c r="G37" s="31"/>
      <c r="H37" s="30"/>
      <c r="I37" s="31" t="str">
        <f>Source!BO25</f>
        <v/>
      </c>
      <c r="J37" s="31"/>
      <c r="K37" s="30"/>
      <c r="L37" s="32"/>
      <c r="S37">
        <f>ROUND((Source!FX25/100)*((ROUND(Source!AF25*Source!I25, 2)+ROUND(Source!AE25*Source!I25, 2))), 2)</f>
        <v>2186.35</v>
      </c>
      <c r="T37">
        <f>Source!X25</f>
        <v>13922.61</v>
      </c>
      <c r="U37">
        <f>ROUND((Source!FY25/100)*((ROUND(Source!AF25*Source!I25, 2)+ROUND(Source!AE25*Source!I25, 2))), 2)</f>
        <v>1102.44</v>
      </c>
      <c r="V37">
        <f>Source!Y25</f>
        <v>7092.65</v>
      </c>
    </row>
    <row r="38" spans="1:26" x14ac:dyDescent="0.2">
      <c r="C38" s="23" t="str">
        <f>"Объем: "&amp;Source!I25&amp;"=131,79/"&amp;"100"</f>
        <v>Объем: 1,3179=131,79/100</v>
      </c>
    </row>
    <row r="39" spans="1:26" ht="14.25" x14ac:dyDescent="0.2">
      <c r="A39" s="45"/>
      <c r="B39" s="46"/>
      <c r="C39" s="46" t="s">
        <v>319</v>
      </c>
      <c r="D39" s="29"/>
      <c r="E39" s="11"/>
      <c r="F39" s="30">
        <f>Source!AO25</f>
        <v>1303.6600000000001</v>
      </c>
      <c r="G39" s="31" t="str">
        <f>Source!DG25</f>
        <v>)*1,15</v>
      </c>
      <c r="H39" s="30">
        <f>ROUND(Source!AF25*Source!I25, 2)</f>
        <v>1975.81</v>
      </c>
      <c r="I39" s="31"/>
      <c r="J39" s="31">
        <f>IF(Source!BA25&lt;&gt; 0, Source!BA25, 1)</f>
        <v>6.38</v>
      </c>
      <c r="K39" s="30">
        <f>Source!S25</f>
        <v>12605.66</v>
      </c>
      <c r="L39" s="32"/>
      <c r="R39">
        <f>H39</f>
        <v>1975.81</v>
      </c>
    </row>
    <row r="40" spans="1:26" ht="14.25" x14ac:dyDescent="0.2">
      <c r="A40" s="45"/>
      <c r="B40" s="46"/>
      <c r="C40" s="46" t="s">
        <v>131</v>
      </c>
      <c r="D40" s="29"/>
      <c r="E40" s="11"/>
      <c r="F40" s="30">
        <f>Source!AM25</f>
        <v>255.21</v>
      </c>
      <c r="G40" s="31" t="str">
        <f>Source!DE25</f>
        <v>)*1,25</v>
      </c>
      <c r="H40" s="30">
        <f>ROUND(Source!AD25*Source!I25, 2)</f>
        <v>420.42</v>
      </c>
      <c r="I40" s="31"/>
      <c r="J40" s="31">
        <f>IF(Source!BB25&lt;&gt; 0, Source!BB25, 1)</f>
        <v>6.38</v>
      </c>
      <c r="K40" s="30">
        <f>Source!Q25</f>
        <v>2682.3</v>
      </c>
      <c r="L40" s="32"/>
    </row>
    <row r="41" spans="1:26" ht="14.25" x14ac:dyDescent="0.2">
      <c r="A41" s="45"/>
      <c r="B41" s="46"/>
      <c r="C41" s="46" t="s">
        <v>320</v>
      </c>
      <c r="D41" s="29"/>
      <c r="E41" s="11"/>
      <c r="F41" s="30">
        <f>Source!AN25</f>
        <v>50.32</v>
      </c>
      <c r="G41" s="31" t="str">
        <f>Source!DF25</f>
        <v>)*1,25</v>
      </c>
      <c r="H41" s="33">
        <f>ROUND(Source!AE25*Source!I25, 2)</f>
        <v>82.9</v>
      </c>
      <c r="I41" s="31"/>
      <c r="J41" s="31">
        <f>IF(Source!BS25&lt;&gt; 0, Source!BS25, 1)</f>
        <v>6.38</v>
      </c>
      <c r="K41" s="33">
        <f>Source!R25</f>
        <v>528.88</v>
      </c>
      <c r="L41" s="32"/>
      <c r="R41">
        <f>H41</f>
        <v>82.9</v>
      </c>
    </row>
    <row r="42" spans="1:26" ht="14.25" x14ac:dyDescent="0.2">
      <c r="A42" s="45"/>
      <c r="B42" s="46"/>
      <c r="C42" s="46" t="s">
        <v>326</v>
      </c>
      <c r="D42" s="29"/>
      <c r="E42" s="11"/>
      <c r="F42" s="30">
        <f>Source!AL25</f>
        <v>8549.02</v>
      </c>
      <c r="G42" s="31" t="str">
        <f>Source!DD25</f>
        <v/>
      </c>
      <c r="H42" s="30">
        <f>ROUND(Source!AC25*Source!I25, 2)</f>
        <v>11266.75</v>
      </c>
      <c r="I42" s="31"/>
      <c r="J42" s="31">
        <f>IF(Source!BC25&lt;&gt; 0, Source!BC25, 1)</f>
        <v>6.38</v>
      </c>
      <c r="K42" s="30">
        <f>Source!P25</f>
        <v>71881.89</v>
      </c>
      <c r="L42" s="32"/>
    </row>
    <row r="43" spans="1:26" ht="14.25" x14ac:dyDescent="0.2">
      <c r="A43" s="45"/>
      <c r="B43" s="46"/>
      <c r="C43" s="46" t="s">
        <v>321</v>
      </c>
      <c r="D43" s="29" t="s">
        <v>322</v>
      </c>
      <c r="E43" s="11">
        <f>Source!BZ25</f>
        <v>118</v>
      </c>
      <c r="F43" s="72" t="str">
        <f>CONCATENATE(" )", Source!DL25, Source!FT25, "=", Source!FX25)</f>
        <v xml:space="preserve"> )*0,9=106,2</v>
      </c>
      <c r="G43" s="73"/>
      <c r="H43" s="30">
        <f>SUM(S37:S46)</f>
        <v>2186.35</v>
      </c>
      <c r="I43" s="34"/>
      <c r="J43" s="27">
        <f>Source!AT25</f>
        <v>106</v>
      </c>
      <c r="K43" s="30">
        <f>SUM(T37:T46)</f>
        <v>13922.61</v>
      </c>
      <c r="L43" s="32"/>
    </row>
    <row r="44" spans="1:26" ht="14.25" x14ac:dyDescent="0.2">
      <c r="A44" s="45"/>
      <c r="B44" s="46"/>
      <c r="C44" s="46" t="s">
        <v>323</v>
      </c>
      <c r="D44" s="29" t="s">
        <v>322</v>
      </c>
      <c r="E44" s="11">
        <f>Source!CA25</f>
        <v>63</v>
      </c>
      <c r="F44" s="72" t="str">
        <f>CONCATENATE(" )", Source!DM25, Source!FU25, "=", Source!FY25)</f>
        <v xml:space="preserve"> )*0,85=53,55</v>
      </c>
      <c r="G44" s="73"/>
      <c r="H44" s="30">
        <f>SUM(U37:U46)</f>
        <v>1102.44</v>
      </c>
      <c r="I44" s="34"/>
      <c r="J44" s="27">
        <f>Source!AU25</f>
        <v>54</v>
      </c>
      <c r="K44" s="30">
        <f>SUM(V37:V46)</f>
        <v>7092.65</v>
      </c>
      <c r="L44" s="32"/>
    </row>
    <row r="45" spans="1:26" ht="14.25" x14ac:dyDescent="0.2">
      <c r="A45" s="45"/>
      <c r="B45" s="46"/>
      <c r="C45" s="46" t="s">
        <v>324</v>
      </c>
      <c r="D45" s="29" t="s">
        <v>325</v>
      </c>
      <c r="E45" s="11">
        <f>Source!AQ25</f>
        <v>149.16</v>
      </c>
      <c r="F45" s="30"/>
      <c r="G45" s="31" t="str">
        <f>Source!DI25</f>
        <v>)*1,15</v>
      </c>
      <c r="H45" s="30"/>
      <c r="I45" s="31"/>
      <c r="J45" s="31"/>
      <c r="K45" s="30"/>
      <c r="L45" s="41">
        <f>Source!U25</f>
        <v>226.0646586</v>
      </c>
    </row>
    <row r="46" spans="1:26" ht="85.5" x14ac:dyDescent="0.2">
      <c r="A46" s="47" t="str">
        <f>Source!E26</f>
        <v>2,1</v>
      </c>
      <c r="B46" s="48" t="str">
        <f>Source!F26</f>
        <v>Средняя цена коммерческих предложений</v>
      </c>
      <c r="C46" s="48" t="s">
        <v>327</v>
      </c>
      <c r="D46" s="35" t="str">
        <f>Source!H26</f>
        <v>м2</v>
      </c>
      <c r="E46" s="36">
        <f>Source!I26</f>
        <v>131.79</v>
      </c>
      <c r="F46" s="37">
        <f>Source!AL26+Source!AM26+Source!AO26</f>
        <v>519.77</v>
      </c>
      <c r="G46" s="42" t="s">
        <v>6</v>
      </c>
      <c r="H46" s="37">
        <f>ROUND(Source!AC26*Source!I26, 2)+ROUND(Source!AD26*Source!I26, 2)+ROUND(Source!AF26*Source!I26, 2)</f>
        <v>68500.490000000005</v>
      </c>
      <c r="I46" s="38"/>
      <c r="J46" s="38">
        <f>IF(Source!BC26&lt;&gt; 0, Source!BC26, 1)</f>
        <v>6.38</v>
      </c>
      <c r="K46" s="37">
        <f>Source!O26</f>
        <v>437033.12</v>
      </c>
      <c r="L46" s="43"/>
      <c r="S46">
        <f>ROUND((Source!FX26/100)*((ROUND(Source!AF26*Source!I26, 2)+ROUND(Source!AE26*Source!I26, 2))), 2)</f>
        <v>0</v>
      </c>
      <c r="T46">
        <f>Source!X26</f>
        <v>0</v>
      </c>
      <c r="U46">
        <f>ROUND((Source!FY26/100)*((ROUND(Source!AF26*Source!I26, 2)+ROUND(Source!AE26*Source!I26, 2))), 2)</f>
        <v>0</v>
      </c>
      <c r="V46">
        <f>Source!Y26</f>
        <v>0</v>
      </c>
      <c r="W46">
        <f>IF(Source!BI26&lt;=1,H46, 0)</f>
        <v>68500.490000000005</v>
      </c>
      <c r="X46">
        <f>IF(Source!BI26=2,H46, 0)</f>
        <v>0</v>
      </c>
      <c r="Y46">
        <f>IF(Source!BI26=3,H46, 0)</f>
        <v>0</v>
      </c>
      <c r="Z46">
        <f>IF(Source!BI26=4,H46, 0)</f>
        <v>0</v>
      </c>
    </row>
    <row r="47" spans="1:26" ht="15" x14ac:dyDescent="0.25">
      <c r="G47" s="71">
        <f>H39+H40+H42+H43+H44+SUM(H46:H46)</f>
        <v>85452.260000000009</v>
      </c>
      <c r="H47" s="71"/>
      <c r="J47" s="71">
        <f>K39+K40+K42+K43+K44+SUM(K46:K46)</f>
        <v>545218.23</v>
      </c>
      <c r="K47" s="71"/>
      <c r="L47" s="40">
        <f>Source!U25</f>
        <v>226.0646586</v>
      </c>
      <c r="O47" s="24">
        <f>G47</f>
        <v>85452.260000000009</v>
      </c>
      <c r="P47" s="24">
        <f>J47</f>
        <v>545218.23</v>
      </c>
      <c r="Q47" s="24">
        <f>L47</f>
        <v>226.0646586</v>
      </c>
      <c r="W47">
        <f>IF(Source!BI25&lt;=1,H39+H40+H42+H43+H44, 0)</f>
        <v>16951.77</v>
      </c>
      <c r="X47">
        <f>IF(Source!BI25=2,H39+H40+H42+H43+H44, 0)</f>
        <v>0</v>
      </c>
      <c r="Y47">
        <f>IF(Source!BI25=3,H39+H40+H42+H43+H44, 0)</f>
        <v>0</v>
      </c>
      <c r="Z47">
        <f>IF(Source!BI25=4,H39+H40+H42+H43+H44, 0)</f>
        <v>0</v>
      </c>
    </row>
    <row r="48" spans="1:26" ht="42.75" x14ac:dyDescent="0.2">
      <c r="A48" s="45" t="str">
        <f>Source!E27</f>
        <v>3</v>
      </c>
      <c r="B48" s="46" t="str">
        <f>Source!F27</f>
        <v>12-01-010-01</v>
      </c>
      <c r="C48" s="46" t="str">
        <f>Source!G27</f>
        <v>Устройство мелких покрытий (брандмауэры, парапеты, свесы и т.п.) из листовой оцинкованной стали</v>
      </c>
      <c r="D48" s="29" t="str">
        <f>Source!H27</f>
        <v>100 м2</v>
      </c>
      <c r="E48" s="11">
        <f>Source!I27</f>
        <v>0.1196</v>
      </c>
      <c r="F48" s="30">
        <f>Source!AL27+Source!AM27+Source!AO27</f>
        <v>9874.2199999999993</v>
      </c>
      <c r="G48" s="31"/>
      <c r="H48" s="30"/>
      <c r="I48" s="31" t="str">
        <f>Source!BO27</f>
        <v/>
      </c>
      <c r="J48" s="31"/>
      <c r="K48" s="30"/>
      <c r="L48" s="32"/>
      <c r="S48">
        <f>ROUND((Source!FX27/100)*((ROUND(Source!AF27*Source!I27, 2)+ROUND(Source!AE27*Source!I27, 2))), 2)</f>
        <v>143.43</v>
      </c>
      <c r="T48">
        <f>Source!X27</f>
        <v>915.08</v>
      </c>
      <c r="U48">
        <f>ROUND((Source!FY27/100)*((ROUND(Source!AF27*Source!I27, 2)+ROUND(Source!AE27*Source!I27, 2))), 2)</f>
        <v>73.38</v>
      </c>
      <c r="V48">
        <f>Source!Y27</f>
        <v>466.02</v>
      </c>
    </row>
    <row r="49" spans="1:26" x14ac:dyDescent="0.2">
      <c r="C49" s="23" t="str">
        <f>"Объем: "&amp;Source!I27&amp;"=11,96/"&amp;"100"</f>
        <v>Объем: 0,1196=11,96/100</v>
      </c>
    </row>
    <row r="50" spans="1:26" ht="14.25" x14ac:dyDescent="0.2">
      <c r="A50" s="45"/>
      <c r="B50" s="46"/>
      <c r="C50" s="46" t="s">
        <v>319</v>
      </c>
      <c r="D50" s="29"/>
      <c r="E50" s="11"/>
      <c r="F50" s="30">
        <f>Source!AO27</f>
        <v>961.76</v>
      </c>
      <c r="G50" s="31" t="str">
        <f>Source!DG27</f>
        <v>)*1,15</v>
      </c>
      <c r="H50" s="30">
        <f>ROUND(Source!AF27*Source!I27, 2)</f>
        <v>132.28</v>
      </c>
      <c r="I50" s="31"/>
      <c r="J50" s="31">
        <f>IF(Source!BA27&lt;&gt; 0, Source!BA27, 1)</f>
        <v>6.38</v>
      </c>
      <c r="K50" s="30">
        <f>Source!S27</f>
        <v>843.95</v>
      </c>
      <c r="L50" s="32"/>
      <c r="R50">
        <f>H50</f>
        <v>132.28</v>
      </c>
    </row>
    <row r="51" spans="1:26" ht="14.25" x14ac:dyDescent="0.2">
      <c r="A51" s="45"/>
      <c r="B51" s="46"/>
      <c r="C51" s="46" t="s">
        <v>131</v>
      </c>
      <c r="D51" s="29"/>
      <c r="E51" s="11"/>
      <c r="F51" s="30">
        <f>Source!AM27</f>
        <v>21.88</v>
      </c>
      <c r="G51" s="31" t="str">
        <f>Source!DE27</f>
        <v>)*1,25</v>
      </c>
      <c r="H51" s="30">
        <f>ROUND(Source!AD27*Source!I27, 2)</f>
        <v>3.27</v>
      </c>
      <c r="I51" s="31"/>
      <c r="J51" s="31">
        <f>IF(Source!BB27&lt;&gt; 0, Source!BB27, 1)</f>
        <v>6.38</v>
      </c>
      <c r="K51" s="30">
        <f>Source!Q27</f>
        <v>20.87</v>
      </c>
      <c r="L51" s="32"/>
    </row>
    <row r="52" spans="1:26" ht="14.25" x14ac:dyDescent="0.2">
      <c r="A52" s="45"/>
      <c r="B52" s="46"/>
      <c r="C52" s="46" t="s">
        <v>320</v>
      </c>
      <c r="D52" s="29"/>
      <c r="E52" s="11"/>
      <c r="F52" s="30">
        <f>Source!AN27</f>
        <v>3.51</v>
      </c>
      <c r="G52" s="31" t="str">
        <f>Source!DF27</f>
        <v>)*1,25</v>
      </c>
      <c r="H52" s="33">
        <f>ROUND(Source!AE27*Source!I27, 2)</f>
        <v>0.53</v>
      </c>
      <c r="I52" s="31"/>
      <c r="J52" s="31">
        <f>IF(Source!BS27&lt;&gt; 0, Source!BS27, 1)</f>
        <v>6.38</v>
      </c>
      <c r="K52" s="33">
        <f>Source!R27</f>
        <v>3.35</v>
      </c>
      <c r="L52" s="32"/>
      <c r="R52">
        <f>H52</f>
        <v>0.53</v>
      </c>
    </row>
    <row r="53" spans="1:26" ht="14.25" x14ac:dyDescent="0.2">
      <c r="A53" s="45"/>
      <c r="B53" s="46"/>
      <c r="C53" s="46" t="s">
        <v>326</v>
      </c>
      <c r="D53" s="29"/>
      <c r="E53" s="11"/>
      <c r="F53" s="30">
        <f>Source!AL27</f>
        <v>8890.58</v>
      </c>
      <c r="G53" s="31" t="str">
        <f>Source!DD27</f>
        <v/>
      </c>
      <c r="H53" s="30">
        <f>ROUND(Source!AC27*Source!I27, 2)</f>
        <v>1063.31</v>
      </c>
      <c r="I53" s="31"/>
      <c r="J53" s="31">
        <f>IF(Source!BC27&lt;&gt; 0, Source!BC27, 1)</f>
        <v>6.38</v>
      </c>
      <c r="K53" s="30">
        <f>Source!P27</f>
        <v>6783.94</v>
      </c>
      <c r="L53" s="32"/>
    </row>
    <row r="54" spans="1:26" ht="14.25" x14ac:dyDescent="0.2">
      <c r="A54" s="45"/>
      <c r="B54" s="46"/>
      <c r="C54" s="46" t="s">
        <v>321</v>
      </c>
      <c r="D54" s="29" t="s">
        <v>322</v>
      </c>
      <c r="E54" s="11">
        <f>Source!BZ27</f>
        <v>120</v>
      </c>
      <c r="F54" s="72" t="str">
        <f>CONCATENATE(" )", Source!DL27, Source!FT27, "=", Source!FX27)</f>
        <v xml:space="preserve"> )*0,9=108</v>
      </c>
      <c r="G54" s="73"/>
      <c r="H54" s="30">
        <f>SUM(S48:S58)</f>
        <v>143.43</v>
      </c>
      <c r="I54" s="34"/>
      <c r="J54" s="27">
        <f>Source!AT27</f>
        <v>108</v>
      </c>
      <c r="K54" s="30">
        <f>SUM(T48:T58)</f>
        <v>915.08</v>
      </c>
      <c r="L54" s="32"/>
    </row>
    <row r="55" spans="1:26" ht="14.25" x14ac:dyDescent="0.2">
      <c r="A55" s="45"/>
      <c r="B55" s="46"/>
      <c r="C55" s="46" t="s">
        <v>323</v>
      </c>
      <c r="D55" s="29" t="s">
        <v>322</v>
      </c>
      <c r="E55" s="11">
        <f>Source!CA27</f>
        <v>65</v>
      </c>
      <c r="F55" s="72" t="str">
        <f>CONCATENATE(" )", Source!DM27, Source!FU27, "=", Source!FY27)</f>
        <v xml:space="preserve"> )*0,85=55,25</v>
      </c>
      <c r="G55" s="73"/>
      <c r="H55" s="30">
        <f>SUM(U48:U58)</f>
        <v>73.38</v>
      </c>
      <c r="I55" s="34"/>
      <c r="J55" s="27">
        <f>Source!AU27</f>
        <v>55</v>
      </c>
      <c r="K55" s="30">
        <f>SUM(V48:V58)</f>
        <v>466.02</v>
      </c>
      <c r="L55" s="32"/>
    </row>
    <row r="56" spans="1:26" ht="14.25" x14ac:dyDescent="0.2">
      <c r="A56" s="45"/>
      <c r="B56" s="46"/>
      <c r="C56" s="46" t="s">
        <v>324</v>
      </c>
      <c r="D56" s="29" t="s">
        <v>325</v>
      </c>
      <c r="E56" s="11">
        <f>Source!AQ27</f>
        <v>112.75</v>
      </c>
      <c r="F56" s="30"/>
      <c r="G56" s="31" t="str">
        <f>Source!DI27</f>
        <v>)*1,15</v>
      </c>
      <c r="H56" s="30"/>
      <c r="I56" s="31"/>
      <c r="J56" s="31"/>
      <c r="K56" s="30"/>
      <c r="L56" s="41">
        <f>Source!U27</f>
        <v>15.507634999999999</v>
      </c>
    </row>
    <row r="57" spans="1:26" ht="85.5" x14ac:dyDescent="0.2">
      <c r="A57" s="45" t="str">
        <f>Source!E28</f>
        <v>3,1</v>
      </c>
      <c r="B57" s="46" t="str">
        <f>Source!F28</f>
        <v>Средняя цена коммерческих предложений</v>
      </c>
      <c r="C57" s="46" t="s">
        <v>328</v>
      </c>
      <c r="D57" s="29" t="str">
        <f>Source!H28</f>
        <v>м</v>
      </c>
      <c r="E57" s="11">
        <f>Source!I28</f>
        <v>59.8</v>
      </c>
      <c r="F57" s="30">
        <f>Source!AL28+Source!AM28+Source!AO28</f>
        <v>19.84</v>
      </c>
      <c r="G57" s="44" t="s">
        <v>6</v>
      </c>
      <c r="H57" s="30">
        <f>ROUND(Source!AC28*Source!I28, 2)+ROUND(Source!AD28*Source!I28, 2)+ROUND(Source!AF28*Source!I28, 2)</f>
        <v>1186.43</v>
      </c>
      <c r="I57" s="31"/>
      <c r="J57" s="31">
        <f>IF(Source!BC28&lt;&gt; 0, Source!BC28, 1)</f>
        <v>6.38</v>
      </c>
      <c r="K57" s="30">
        <f>Source!O28</f>
        <v>7569.44</v>
      </c>
      <c r="L57" s="32"/>
      <c r="S57">
        <f>ROUND((Source!FX28/100)*((ROUND(Source!AF28*Source!I28, 2)+ROUND(Source!AE28*Source!I28, 2))), 2)</f>
        <v>0</v>
      </c>
      <c r="T57">
        <f>Source!X28</f>
        <v>0</v>
      </c>
      <c r="U57">
        <f>ROUND((Source!FY28/100)*((ROUND(Source!AF28*Source!I28, 2)+ROUND(Source!AE28*Source!I28, 2))), 2)</f>
        <v>0</v>
      </c>
      <c r="V57">
        <f>Source!Y28</f>
        <v>0</v>
      </c>
      <c r="W57">
        <f>IF(Source!BI28&lt;=1,H57, 0)</f>
        <v>1186.43</v>
      </c>
      <c r="X57">
        <f>IF(Source!BI28=2,H57, 0)</f>
        <v>0</v>
      </c>
      <c r="Y57">
        <f>IF(Source!BI28=3,H57, 0)</f>
        <v>0</v>
      </c>
      <c r="Z57">
        <f>IF(Source!BI28=4,H57, 0)</f>
        <v>0</v>
      </c>
    </row>
    <row r="58" spans="1:26" ht="28.5" x14ac:dyDescent="0.2">
      <c r="A58" s="47" t="str">
        <f>Source!E29</f>
        <v>3,2</v>
      </c>
      <c r="B58" s="48" t="str">
        <f>Source!F29</f>
        <v>08.3.05.05-0053</v>
      </c>
      <c r="C58" s="48" t="str">
        <f>Source!G29</f>
        <v>Сталь листовая оцинкованная толщиной листа 0,7 мм</v>
      </c>
      <c r="D58" s="35" t="str">
        <f>Source!H29</f>
        <v>т</v>
      </c>
      <c r="E58" s="36">
        <f>Source!I29</f>
        <v>-9.3526999999999999E-2</v>
      </c>
      <c r="F58" s="37">
        <f>Source!AL29+Source!AM29+Source!AO29</f>
        <v>11200</v>
      </c>
      <c r="G58" s="42" t="s">
        <v>6</v>
      </c>
      <c r="H58" s="37">
        <f>ROUND(Source!AC29*Source!I29, 2)+ROUND(Source!AD29*Source!I29, 2)+ROUND(Source!AF29*Source!I29, 2)</f>
        <v>-1047.5</v>
      </c>
      <c r="I58" s="38"/>
      <c r="J58" s="38">
        <f>IF(Source!BC29&lt;&gt; 0, Source!BC29, 1)</f>
        <v>6.38</v>
      </c>
      <c r="K58" s="37">
        <f>Source!O29</f>
        <v>-6683.07</v>
      </c>
      <c r="L58" s="43"/>
      <c r="S58">
        <f>ROUND((Source!FX29/100)*((ROUND(Source!AF29*Source!I29, 2)+ROUND(Source!AE29*Source!I29, 2))), 2)</f>
        <v>0</v>
      </c>
      <c r="T58">
        <f>Source!X29</f>
        <v>0</v>
      </c>
      <c r="U58">
        <f>ROUND((Source!FY29/100)*((ROUND(Source!AF29*Source!I29, 2)+ROUND(Source!AE29*Source!I29, 2))), 2)</f>
        <v>0</v>
      </c>
      <c r="V58">
        <f>Source!Y29</f>
        <v>0</v>
      </c>
      <c r="W58">
        <f>IF(Source!BI29&lt;=1,H58, 0)</f>
        <v>-1047.5</v>
      </c>
      <c r="X58">
        <f>IF(Source!BI29=2,H58, 0)</f>
        <v>0</v>
      </c>
      <c r="Y58">
        <f>IF(Source!BI29=3,H58, 0)</f>
        <v>0</v>
      </c>
      <c r="Z58">
        <f>IF(Source!BI29=4,H58, 0)</f>
        <v>0</v>
      </c>
    </row>
    <row r="59" spans="1:26" ht="15" x14ac:dyDescent="0.25">
      <c r="G59" s="71">
        <f>H50+H51+H53+H54+H55+SUM(H57:H58)</f>
        <v>1554.6000000000001</v>
      </c>
      <c r="H59" s="71"/>
      <c r="J59" s="71">
        <f>K50+K51+K53+K54+K55+SUM(K57:K58)</f>
        <v>9916.23</v>
      </c>
      <c r="K59" s="71"/>
      <c r="L59" s="40">
        <f>Source!U27</f>
        <v>15.507634999999999</v>
      </c>
      <c r="O59" s="24">
        <f>G59</f>
        <v>1554.6000000000001</v>
      </c>
      <c r="P59" s="24">
        <f>J59</f>
        <v>9916.23</v>
      </c>
      <c r="Q59" s="24">
        <f>L59</f>
        <v>15.507634999999999</v>
      </c>
      <c r="W59">
        <f>IF(Source!BI27&lt;=1,H50+H51+H53+H54+H55, 0)</f>
        <v>1415.67</v>
      </c>
      <c r="X59">
        <f>IF(Source!BI27=2,H50+H51+H53+H54+H55, 0)</f>
        <v>0</v>
      </c>
      <c r="Y59">
        <f>IF(Source!BI27=3,H50+H51+H53+H54+H55, 0)</f>
        <v>0</v>
      </c>
      <c r="Z59">
        <f>IF(Source!BI27=4,H50+H51+H53+H54+H55, 0)</f>
        <v>0</v>
      </c>
    </row>
    <row r="60" spans="1:26" ht="57" x14ac:dyDescent="0.2">
      <c r="A60" s="45" t="str">
        <f>Source!E30</f>
        <v>4</v>
      </c>
      <c r="B60" s="46" t="str">
        <f>Source!F30</f>
        <v>15-01-050-04</v>
      </c>
      <c r="C60" s="46" t="str">
        <f>Source!G30</f>
        <v>Облицовка оконных и дверных откосов декоративным бумажно-слоистым пластиком или листами из синтетических материалов</v>
      </c>
      <c r="D60" s="29" t="str">
        <f>Source!H30</f>
        <v>100 м2</v>
      </c>
      <c r="E60" s="11">
        <f>Source!I30</f>
        <v>0.6532</v>
      </c>
      <c r="F60" s="30">
        <f>Source!AL30+Source!AM30+Source!AO30</f>
        <v>1563.91</v>
      </c>
      <c r="G60" s="31"/>
      <c r="H60" s="30"/>
      <c r="I60" s="31" t="str">
        <f>Source!BO30</f>
        <v/>
      </c>
      <c r="J60" s="31"/>
      <c r="K60" s="30"/>
      <c r="L60" s="32"/>
      <c r="S60">
        <f>ROUND((Source!FX30/100)*((ROUND(Source!AF30*Source!I30, 2)+ROUND(Source!AE30*Source!I30, 2))), 2)</f>
        <v>1090.1199999999999</v>
      </c>
      <c r="T60">
        <f>Source!X30</f>
        <v>6991.75</v>
      </c>
      <c r="U60">
        <f>ROUND((Source!FY30/100)*((ROUND(Source!AF30*Source!I30, 2)+ROUND(Source!AE30*Source!I30, 2))), 2)</f>
        <v>539.29</v>
      </c>
      <c r="V60">
        <f>Source!Y30</f>
        <v>3459.08</v>
      </c>
    </row>
    <row r="61" spans="1:26" x14ac:dyDescent="0.2">
      <c r="C61" s="23" t="str">
        <f>"Объем: "&amp;Source!I30&amp;"=65,32/"&amp;"100"</f>
        <v>Объем: 0,6532=65,32/100</v>
      </c>
    </row>
    <row r="62" spans="1:26" ht="14.25" x14ac:dyDescent="0.2">
      <c r="A62" s="45"/>
      <c r="B62" s="46"/>
      <c r="C62" s="46" t="s">
        <v>319</v>
      </c>
      <c r="D62" s="29"/>
      <c r="E62" s="11"/>
      <c r="F62" s="30">
        <f>Source!AO30</f>
        <v>1528.19</v>
      </c>
      <c r="G62" s="31" t="str">
        <f>Source!DG30</f>
        <v>)*1,15</v>
      </c>
      <c r="H62" s="30">
        <f>ROUND(Source!AF30*Source!I30, 2)</f>
        <v>1147.95</v>
      </c>
      <c r="I62" s="31"/>
      <c r="J62" s="31">
        <f>IF(Source!BA30&lt;&gt; 0, Source!BA30, 1)</f>
        <v>6.38</v>
      </c>
      <c r="K62" s="30">
        <f>Source!S30</f>
        <v>7323.9</v>
      </c>
      <c r="L62" s="32"/>
      <c r="R62">
        <f>H62</f>
        <v>1147.95</v>
      </c>
    </row>
    <row r="63" spans="1:26" ht="14.25" x14ac:dyDescent="0.2">
      <c r="A63" s="45"/>
      <c r="B63" s="46"/>
      <c r="C63" s="46" t="s">
        <v>131</v>
      </c>
      <c r="D63" s="29"/>
      <c r="E63" s="11"/>
      <c r="F63" s="30">
        <f>Source!AM30</f>
        <v>35.36</v>
      </c>
      <c r="G63" s="31" t="str">
        <f>Source!DE30</f>
        <v>)*1,25</v>
      </c>
      <c r="H63" s="30">
        <f>ROUND(Source!AD30*Source!I30, 2)</f>
        <v>28.87</v>
      </c>
      <c r="I63" s="31"/>
      <c r="J63" s="31">
        <f>IF(Source!BB30&lt;&gt; 0, Source!BB30, 1)</f>
        <v>6.38</v>
      </c>
      <c r="K63" s="30">
        <f>Source!Q30</f>
        <v>184.2</v>
      </c>
      <c r="L63" s="32"/>
    </row>
    <row r="64" spans="1:26" ht="14.25" x14ac:dyDescent="0.2">
      <c r="A64" s="45"/>
      <c r="B64" s="46"/>
      <c r="C64" s="46" t="s">
        <v>320</v>
      </c>
      <c r="D64" s="29"/>
      <c r="E64" s="11"/>
      <c r="F64" s="30">
        <f>Source!AN30</f>
        <v>6.88</v>
      </c>
      <c r="G64" s="31" t="str">
        <f>Source!DF30</f>
        <v>)*1,25</v>
      </c>
      <c r="H64" s="33">
        <f>ROUND(Source!AE30*Source!I30, 2)</f>
        <v>5.62</v>
      </c>
      <c r="I64" s="31"/>
      <c r="J64" s="31">
        <f>IF(Source!BS30&lt;&gt; 0, Source!BS30, 1)</f>
        <v>6.38</v>
      </c>
      <c r="K64" s="33">
        <f>Source!R30</f>
        <v>35.840000000000003</v>
      </c>
      <c r="L64" s="32"/>
      <c r="R64">
        <f>H64</f>
        <v>5.62</v>
      </c>
    </row>
    <row r="65" spans="1:26" ht="14.25" x14ac:dyDescent="0.2">
      <c r="A65" s="45"/>
      <c r="B65" s="46"/>
      <c r="C65" s="46" t="s">
        <v>326</v>
      </c>
      <c r="D65" s="29"/>
      <c r="E65" s="11"/>
      <c r="F65" s="30">
        <f>Source!AL30</f>
        <v>0.36</v>
      </c>
      <c r="G65" s="31" t="str">
        <f>Source!DD30</f>
        <v/>
      </c>
      <c r="H65" s="30">
        <f>ROUND(Source!AC30*Source!I30, 2)</f>
        <v>0.24</v>
      </c>
      <c r="I65" s="31"/>
      <c r="J65" s="31">
        <f>IF(Source!BC30&lt;&gt; 0, Source!BC30, 1)</f>
        <v>6.38</v>
      </c>
      <c r="K65" s="30">
        <f>Source!P30</f>
        <v>1.5</v>
      </c>
      <c r="L65" s="32"/>
    </row>
    <row r="66" spans="1:26" ht="14.25" x14ac:dyDescent="0.2">
      <c r="A66" s="45"/>
      <c r="B66" s="46"/>
      <c r="C66" s="46" t="s">
        <v>321</v>
      </c>
      <c r="D66" s="29" t="s">
        <v>322</v>
      </c>
      <c r="E66" s="11">
        <f>Source!BZ30</f>
        <v>105</v>
      </c>
      <c r="F66" s="72" t="str">
        <f>CONCATENATE(" )", Source!DL30, Source!FT30, "=", Source!FX30)</f>
        <v xml:space="preserve"> )*0,9=94,5</v>
      </c>
      <c r="G66" s="73"/>
      <c r="H66" s="30">
        <f>SUM(S60:S72)</f>
        <v>1090.1199999999999</v>
      </c>
      <c r="I66" s="34"/>
      <c r="J66" s="27">
        <f>Source!AT30</f>
        <v>95</v>
      </c>
      <c r="K66" s="30">
        <f>SUM(T60:T72)</f>
        <v>6991.75</v>
      </c>
      <c r="L66" s="32"/>
    </row>
    <row r="67" spans="1:26" ht="14.25" x14ac:dyDescent="0.2">
      <c r="A67" s="45"/>
      <c r="B67" s="46"/>
      <c r="C67" s="46" t="s">
        <v>323</v>
      </c>
      <c r="D67" s="29" t="s">
        <v>322</v>
      </c>
      <c r="E67" s="11">
        <f>Source!CA30</f>
        <v>55</v>
      </c>
      <c r="F67" s="72" t="str">
        <f>CONCATENATE(" )", Source!DM30, Source!FU30, "=", Source!FY30)</f>
        <v xml:space="preserve"> )*0,85=46,75</v>
      </c>
      <c r="G67" s="73"/>
      <c r="H67" s="30">
        <f>SUM(U60:U72)</f>
        <v>539.29</v>
      </c>
      <c r="I67" s="34"/>
      <c r="J67" s="27">
        <f>Source!AU30</f>
        <v>47</v>
      </c>
      <c r="K67" s="30">
        <f>SUM(V60:V72)</f>
        <v>3459.08</v>
      </c>
      <c r="L67" s="32"/>
    </row>
    <row r="68" spans="1:26" ht="14.25" x14ac:dyDescent="0.2">
      <c r="A68" s="45"/>
      <c r="B68" s="46"/>
      <c r="C68" s="46" t="s">
        <v>324</v>
      </c>
      <c r="D68" s="29" t="s">
        <v>325</v>
      </c>
      <c r="E68" s="11">
        <f>Source!AQ30</f>
        <v>166.47</v>
      </c>
      <c r="F68" s="30"/>
      <c r="G68" s="31" t="str">
        <f>Source!DI30</f>
        <v>)*1,15</v>
      </c>
      <c r="H68" s="30"/>
      <c r="I68" s="31"/>
      <c r="J68" s="31"/>
      <c r="K68" s="30"/>
      <c r="L68" s="41">
        <f>Source!U30</f>
        <v>125.0489346</v>
      </c>
    </row>
    <row r="69" spans="1:26" ht="85.5" x14ac:dyDescent="0.2">
      <c r="A69" s="45" t="str">
        <f>Source!E31</f>
        <v>4,1</v>
      </c>
      <c r="B69" s="46" t="str">
        <f>Source!F31</f>
        <v>Средняя цена коммерческих предложений</v>
      </c>
      <c r="C69" s="46" t="s">
        <v>329</v>
      </c>
      <c r="D69" s="29" t="str">
        <f>Source!H31</f>
        <v>м</v>
      </c>
      <c r="E69" s="11">
        <f>Source!I31</f>
        <v>163.30000000000001</v>
      </c>
      <c r="F69" s="30">
        <f>Source!AL31+Source!AM31+Source!AO31</f>
        <v>79.430000000000007</v>
      </c>
      <c r="G69" s="44" t="s">
        <v>6</v>
      </c>
      <c r="H69" s="30">
        <f>ROUND(Source!AC31*Source!I31, 2)+ROUND(Source!AD31*Source!I31, 2)+ROUND(Source!AF31*Source!I31, 2)</f>
        <v>12970.92</v>
      </c>
      <c r="I69" s="31"/>
      <c r="J69" s="31">
        <f>IF(Source!BC31&lt;&gt; 0, Source!BC31, 1)</f>
        <v>6.38</v>
      </c>
      <c r="K69" s="30">
        <f>Source!O31</f>
        <v>82754.460000000006</v>
      </c>
      <c r="L69" s="32"/>
      <c r="S69">
        <f>ROUND((Source!FX31/100)*((ROUND(Source!AF31*Source!I31, 2)+ROUND(Source!AE31*Source!I31, 2))), 2)</f>
        <v>0</v>
      </c>
      <c r="T69">
        <f>Source!X31</f>
        <v>0</v>
      </c>
      <c r="U69">
        <f>ROUND((Source!FY31/100)*((ROUND(Source!AF31*Source!I31, 2)+ROUND(Source!AE31*Source!I31, 2))), 2)</f>
        <v>0</v>
      </c>
      <c r="V69">
        <f>Source!Y31</f>
        <v>0</v>
      </c>
      <c r="W69">
        <f>IF(Source!BI31&lt;=1,H69, 0)</f>
        <v>12970.92</v>
      </c>
      <c r="X69">
        <f>IF(Source!BI31=2,H69, 0)</f>
        <v>0</v>
      </c>
      <c r="Y69">
        <f>IF(Source!BI31=3,H69, 0)</f>
        <v>0</v>
      </c>
      <c r="Z69">
        <f>IF(Source!BI31=4,H69, 0)</f>
        <v>0</v>
      </c>
    </row>
    <row r="70" spans="1:26" ht="28.5" x14ac:dyDescent="0.2">
      <c r="A70" s="45" t="str">
        <f>Source!E32</f>
        <v>4,2</v>
      </c>
      <c r="B70" s="46" t="str">
        <f>Source!F32</f>
        <v>14.2.02.01-0001</v>
      </c>
      <c r="C70" s="46" t="str">
        <f>Source!G32</f>
        <v>Клей огнестойкий, марка "Conlit Glue" ROCKWOOL</v>
      </c>
      <c r="D70" s="29" t="str">
        <f>Source!H32</f>
        <v>кг</v>
      </c>
      <c r="E70" s="11">
        <f>Source!I32</f>
        <v>19.596</v>
      </c>
      <c r="F70" s="30">
        <f>Source!AL32+Source!AM32+Source!AO32</f>
        <v>19.72</v>
      </c>
      <c r="G70" s="44" t="s">
        <v>6</v>
      </c>
      <c r="H70" s="30">
        <f>ROUND(Source!AC32*Source!I32, 2)+ROUND(Source!AD32*Source!I32, 2)+ROUND(Source!AF32*Source!I32, 2)</f>
        <v>386.43</v>
      </c>
      <c r="I70" s="31"/>
      <c r="J70" s="31">
        <f>IF(Source!BC32&lt;&gt; 0, Source!BC32, 1)</f>
        <v>6.38</v>
      </c>
      <c r="K70" s="30">
        <f>Source!O32</f>
        <v>2465.44</v>
      </c>
      <c r="L70" s="32"/>
      <c r="S70">
        <f>ROUND((Source!FX32/100)*((ROUND(Source!AF32*Source!I32, 2)+ROUND(Source!AE32*Source!I32, 2))), 2)</f>
        <v>0</v>
      </c>
      <c r="T70">
        <f>Source!X32</f>
        <v>0</v>
      </c>
      <c r="U70">
        <f>ROUND((Source!FY32/100)*((ROUND(Source!AF32*Source!I32, 2)+ROUND(Source!AE32*Source!I32, 2))), 2)</f>
        <v>0</v>
      </c>
      <c r="V70">
        <f>Source!Y32</f>
        <v>0</v>
      </c>
      <c r="W70">
        <f>IF(Source!BI32&lt;=1,H70, 0)</f>
        <v>386.43</v>
      </c>
      <c r="X70">
        <f>IF(Source!BI32=2,H70, 0)</f>
        <v>0</v>
      </c>
      <c r="Y70">
        <f>IF(Source!BI32=3,H70, 0)</f>
        <v>0</v>
      </c>
      <c r="Z70">
        <f>IF(Source!BI32=4,H70, 0)</f>
        <v>0</v>
      </c>
    </row>
    <row r="71" spans="1:26" ht="28.5" x14ac:dyDescent="0.2">
      <c r="A71" s="45" t="str">
        <f>Source!E33</f>
        <v>4,3</v>
      </c>
      <c r="B71" s="46" t="str">
        <f>Source!F33</f>
        <v>14.3.01.01-0105</v>
      </c>
      <c r="C71" s="46" t="str">
        <f>Source!G33</f>
        <v>Грунтовка: по бетону, марка "WG-Welestrong Sealer"</v>
      </c>
      <c r="D71" s="29" t="str">
        <f>Source!H33</f>
        <v>кг</v>
      </c>
      <c r="E71" s="11">
        <f>Source!I33</f>
        <v>5.8134800000000002</v>
      </c>
      <c r="F71" s="30">
        <f>Source!AL33+Source!AM33+Source!AO33</f>
        <v>210.9</v>
      </c>
      <c r="G71" s="44" t="s">
        <v>6</v>
      </c>
      <c r="H71" s="30">
        <f>ROUND(Source!AC33*Source!I33, 2)+ROUND(Source!AD33*Source!I33, 2)+ROUND(Source!AF33*Source!I33, 2)</f>
        <v>1226.06</v>
      </c>
      <c r="I71" s="31"/>
      <c r="J71" s="31">
        <f>IF(Source!BC33&lt;&gt; 0, Source!BC33, 1)</f>
        <v>6.38</v>
      </c>
      <c r="K71" s="30">
        <f>Source!O33</f>
        <v>7822.28</v>
      </c>
      <c r="L71" s="32"/>
      <c r="S71">
        <f>ROUND((Source!FX33/100)*((ROUND(Source!AF33*Source!I33, 2)+ROUND(Source!AE33*Source!I33, 2))), 2)</f>
        <v>0</v>
      </c>
      <c r="T71">
        <f>Source!X33</f>
        <v>0</v>
      </c>
      <c r="U71">
        <f>ROUND((Source!FY33/100)*((ROUND(Source!AF33*Source!I33, 2)+ROUND(Source!AE33*Source!I33, 2))), 2)</f>
        <v>0</v>
      </c>
      <c r="V71">
        <f>Source!Y33</f>
        <v>0</v>
      </c>
      <c r="W71">
        <f>IF(Source!BI33&lt;=1,H71, 0)</f>
        <v>1226.06</v>
      </c>
      <c r="X71">
        <f>IF(Source!BI33=2,H71, 0)</f>
        <v>0</v>
      </c>
      <c r="Y71">
        <f>IF(Source!BI33=3,H71, 0)</f>
        <v>0</v>
      </c>
      <c r="Z71">
        <f>IF(Source!BI33=4,H71, 0)</f>
        <v>0</v>
      </c>
    </row>
    <row r="72" spans="1:26" ht="14.25" x14ac:dyDescent="0.2">
      <c r="A72" s="47" t="str">
        <f>Source!E34</f>
        <v>4,4</v>
      </c>
      <c r="B72" s="48" t="str">
        <f>Source!F34</f>
        <v>14.1.06.05</v>
      </c>
      <c r="C72" s="48" t="str">
        <f>Source!G34</f>
        <v>Клей</v>
      </c>
      <c r="D72" s="35" t="str">
        <f>Source!H34</f>
        <v>кг</v>
      </c>
      <c r="E72" s="36">
        <f>Source!I34</f>
        <v>19.596</v>
      </c>
      <c r="F72" s="37">
        <f>Source!AL34+Source!AM34+Source!AO34</f>
        <v>0</v>
      </c>
      <c r="G72" s="42" t="s">
        <v>6</v>
      </c>
      <c r="H72" s="37">
        <f>ROUND(Source!AC34*Source!I34, 2)+ROUND(Source!AD34*Source!I34, 2)+ROUND(Source!AF34*Source!I34, 2)</f>
        <v>0</v>
      </c>
      <c r="I72" s="38"/>
      <c r="J72" s="38">
        <f>IF(Source!BC34&lt;&gt; 0, Source!BC34, 1)</f>
        <v>6.38</v>
      </c>
      <c r="K72" s="37">
        <f>Source!O34</f>
        <v>0</v>
      </c>
      <c r="L72" s="43"/>
      <c r="S72">
        <f>ROUND((Source!FX34/100)*((ROUND(Source!AF34*Source!I34, 2)+ROUND(Source!AE34*Source!I34, 2))), 2)</f>
        <v>0</v>
      </c>
      <c r="T72">
        <f>Source!X34</f>
        <v>0</v>
      </c>
      <c r="U72">
        <f>ROUND((Source!FY34/100)*((ROUND(Source!AF34*Source!I34, 2)+ROUND(Source!AE34*Source!I34, 2))), 2)</f>
        <v>0</v>
      </c>
      <c r="V72">
        <f>Source!Y34</f>
        <v>0</v>
      </c>
      <c r="W72">
        <f>IF(Source!BI34&lt;=1,H72, 0)</f>
        <v>0</v>
      </c>
      <c r="X72">
        <f>IF(Source!BI34=2,H72, 0)</f>
        <v>0</v>
      </c>
      <c r="Y72">
        <f>IF(Source!BI34=3,H72, 0)</f>
        <v>0</v>
      </c>
      <c r="Z72">
        <f>IF(Source!BI34=4,H72, 0)</f>
        <v>0</v>
      </c>
    </row>
    <row r="73" spans="1:26" ht="15" x14ac:dyDescent="0.25">
      <c r="G73" s="71">
        <f>H62+H63+H65+H66+H67+SUM(H69:H72)</f>
        <v>17389.88</v>
      </c>
      <c r="H73" s="71"/>
      <c r="J73" s="71">
        <f>K62+K63+K65+K66+K67+SUM(K69:K72)</f>
        <v>111002.61000000002</v>
      </c>
      <c r="K73" s="71"/>
      <c r="L73" s="40">
        <f>Source!U30</f>
        <v>125.0489346</v>
      </c>
      <c r="O73" s="24">
        <f>G73</f>
        <v>17389.88</v>
      </c>
      <c r="P73" s="24">
        <f>J73</f>
        <v>111002.61000000002</v>
      </c>
      <c r="Q73" s="24">
        <f>L73</f>
        <v>125.0489346</v>
      </c>
      <c r="W73">
        <f>IF(Source!BI30&lt;=1,H62+H63+H65+H66+H67, 0)</f>
        <v>2806.47</v>
      </c>
      <c r="X73">
        <f>IF(Source!BI30=2,H62+H63+H65+H66+H67, 0)</f>
        <v>0</v>
      </c>
      <c r="Y73">
        <f>IF(Source!BI30=3,H62+H63+H65+H66+H67, 0)</f>
        <v>0</v>
      </c>
      <c r="Z73">
        <f>IF(Source!BI30=4,H62+H63+H65+H66+H67, 0)</f>
        <v>0</v>
      </c>
    </row>
    <row r="74" spans="1:26" ht="28.5" x14ac:dyDescent="0.2">
      <c r="A74" s="45" t="str">
        <f>Source!E35</f>
        <v>5</v>
      </c>
      <c r="B74" s="46" t="str">
        <f>Source!F35</f>
        <v>10-01-036-01</v>
      </c>
      <c r="C74" s="46" t="str">
        <f>Source!G35</f>
        <v>Установка уголков ПВХ на клее</v>
      </c>
      <c r="D74" s="29" t="str">
        <f>Source!H35</f>
        <v>100 м</v>
      </c>
      <c r="E74" s="11">
        <f>Source!I35</f>
        <v>1.633</v>
      </c>
      <c r="F74" s="30">
        <f>Source!AL35+Source!AM35+Source!AO35</f>
        <v>93.15</v>
      </c>
      <c r="G74" s="31"/>
      <c r="H74" s="30"/>
      <c r="I74" s="31" t="str">
        <f>Source!BO35</f>
        <v/>
      </c>
      <c r="J74" s="31"/>
      <c r="K74" s="30"/>
      <c r="L74" s="32"/>
      <c r="S74">
        <f>ROUND((Source!FX35/100)*((ROUND(Source!AF35*Source!I35, 2)+ROUND(Source!AE35*Source!I35, 2))), 2)</f>
        <v>113.97</v>
      </c>
      <c r="T74">
        <f>Source!X35</f>
        <v>725.79</v>
      </c>
      <c r="U74">
        <f>ROUND((Source!FY35/100)*((ROUND(Source!AF35*Source!I35, 2)+ROUND(Source!AE35*Source!I35, 2))), 2)</f>
        <v>57.47</v>
      </c>
      <c r="V74">
        <f>Source!Y35</f>
        <v>369.74</v>
      </c>
    </row>
    <row r="75" spans="1:26" x14ac:dyDescent="0.2">
      <c r="C75" s="23" t="str">
        <f>"Объем: "&amp;Source!I35&amp;"=163,3/"&amp;"100"</f>
        <v>Объем: 1,633=163,3/100</v>
      </c>
    </row>
    <row r="76" spans="1:26" ht="14.25" x14ac:dyDescent="0.2">
      <c r="A76" s="45"/>
      <c r="B76" s="46"/>
      <c r="C76" s="46" t="s">
        <v>319</v>
      </c>
      <c r="D76" s="29"/>
      <c r="E76" s="11"/>
      <c r="F76" s="30">
        <f>Source!AO35</f>
        <v>57.15</v>
      </c>
      <c r="G76" s="31" t="str">
        <f>Source!DG35</f>
        <v>)*1,15</v>
      </c>
      <c r="H76" s="30">
        <f>ROUND(Source!AF35*Source!I35, 2)</f>
        <v>107.32</v>
      </c>
      <c r="I76" s="31"/>
      <c r="J76" s="31">
        <f>IF(Source!BA35&lt;&gt; 0, Source!BA35, 1)</f>
        <v>6.38</v>
      </c>
      <c r="K76" s="30">
        <f>Source!S35</f>
        <v>684.71</v>
      </c>
      <c r="L76" s="32"/>
      <c r="R76">
        <f>H76</f>
        <v>107.32</v>
      </c>
    </row>
    <row r="77" spans="1:26" ht="14.25" x14ac:dyDescent="0.2">
      <c r="A77" s="45"/>
      <c r="B77" s="46"/>
      <c r="C77" s="46" t="s">
        <v>326</v>
      </c>
      <c r="D77" s="29"/>
      <c r="E77" s="11"/>
      <c r="F77" s="30">
        <f>Source!AL35</f>
        <v>36</v>
      </c>
      <c r="G77" s="31" t="str">
        <f>Source!DD35</f>
        <v/>
      </c>
      <c r="H77" s="30">
        <f>ROUND(Source!AC35*Source!I35, 2)</f>
        <v>58.79</v>
      </c>
      <c r="I77" s="31"/>
      <c r="J77" s="31">
        <f>IF(Source!BC35&lt;&gt; 0, Source!BC35, 1)</f>
        <v>6.38</v>
      </c>
      <c r="K77" s="30">
        <f>Source!P35</f>
        <v>375.07</v>
      </c>
      <c r="L77" s="32"/>
    </row>
    <row r="78" spans="1:26" ht="14.25" x14ac:dyDescent="0.2">
      <c r="A78" s="45"/>
      <c r="B78" s="46"/>
      <c r="C78" s="46" t="s">
        <v>321</v>
      </c>
      <c r="D78" s="29" t="s">
        <v>322</v>
      </c>
      <c r="E78" s="11">
        <f>Source!BZ35</f>
        <v>118</v>
      </c>
      <c r="F78" s="72" t="str">
        <f>CONCATENATE(" )", Source!DL35, Source!FT35, "=", Source!FX35)</f>
        <v xml:space="preserve"> )*0,9=106,2</v>
      </c>
      <c r="G78" s="73"/>
      <c r="H78" s="30">
        <f>SUM(S74:S82)</f>
        <v>113.97</v>
      </c>
      <c r="I78" s="34"/>
      <c r="J78" s="27">
        <f>Source!AT35</f>
        <v>106</v>
      </c>
      <c r="K78" s="30">
        <f>SUM(T74:T82)</f>
        <v>725.79</v>
      </c>
      <c r="L78" s="32"/>
    </row>
    <row r="79" spans="1:26" ht="14.25" x14ac:dyDescent="0.2">
      <c r="A79" s="45"/>
      <c r="B79" s="46"/>
      <c r="C79" s="46" t="s">
        <v>323</v>
      </c>
      <c r="D79" s="29" t="s">
        <v>322</v>
      </c>
      <c r="E79" s="11">
        <f>Source!CA35</f>
        <v>63</v>
      </c>
      <c r="F79" s="72" t="str">
        <f>CONCATENATE(" )", Source!DM35, Source!FU35, "=", Source!FY35)</f>
        <v xml:space="preserve"> )*0,85=53,55</v>
      </c>
      <c r="G79" s="73"/>
      <c r="H79" s="30">
        <f>SUM(U74:U82)</f>
        <v>57.47</v>
      </c>
      <c r="I79" s="34"/>
      <c r="J79" s="27">
        <f>Source!AU35</f>
        <v>54</v>
      </c>
      <c r="K79" s="30">
        <f>SUM(V74:V82)</f>
        <v>369.74</v>
      </c>
      <c r="L79" s="32"/>
    </row>
    <row r="80" spans="1:26" ht="14.25" x14ac:dyDescent="0.2">
      <c r="A80" s="45"/>
      <c r="B80" s="46"/>
      <c r="C80" s="46" t="s">
        <v>324</v>
      </c>
      <c r="D80" s="29" t="s">
        <v>325</v>
      </c>
      <c r="E80" s="11">
        <f>Source!AQ35</f>
        <v>6.7</v>
      </c>
      <c r="F80" s="30"/>
      <c r="G80" s="31" t="str">
        <f>Source!DI35</f>
        <v>)*1,15</v>
      </c>
      <c r="H80" s="30"/>
      <c r="I80" s="31"/>
      <c r="J80" s="31"/>
      <c r="K80" s="30"/>
      <c r="L80" s="41">
        <f>Source!U35</f>
        <v>12.582265</v>
      </c>
    </row>
    <row r="81" spans="1:26" ht="14.25" x14ac:dyDescent="0.2">
      <c r="A81" s="45" t="str">
        <f>Source!E36</f>
        <v>5,1</v>
      </c>
      <c r="B81" s="46" t="str">
        <f>Source!F36</f>
        <v>11.3.03.13</v>
      </c>
      <c r="C81" s="46" t="str">
        <f>Source!G36</f>
        <v>Уголок ПВХ</v>
      </c>
      <c r="D81" s="29" t="str">
        <f>Source!H36</f>
        <v>П.М</v>
      </c>
      <c r="E81" s="11">
        <f>Source!I36</f>
        <v>163.30000000000001</v>
      </c>
      <c r="F81" s="30">
        <f>Source!AL36+Source!AM36+Source!AO36</f>
        <v>0</v>
      </c>
      <c r="G81" s="44" t="s">
        <v>6</v>
      </c>
      <c r="H81" s="30">
        <f>ROUND(Source!AC36*Source!I36, 2)+ROUND(Source!AD36*Source!I36, 2)+ROUND(Source!AF36*Source!I36, 2)</f>
        <v>0</v>
      </c>
      <c r="I81" s="31"/>
      <c r="J81" s="31">
        <f>IF(Source!BC36&lt;&gt; 0, Source!BC36, 1)</f>
        <v>6.38</v>
      </c>
      <c r="K81" s="30">
        <f>Source!O36</f>
        <v>0</v>
      </c>
      <c r="L81" s="32"/>
      <c r="S81">
        <f>ROUND((Source!FX36/100)*((ROUND(Source!AF36*Source!I36, 2)+ROUND(Source!AE36*Source!I36, 2))), 2)</f>
        <v>0</v>
      </c>
      <c r="T81">
        <f>Source!X36</f>
        <v>0</v>
      </c>
      <c r="U81">
        <f>ROUND((Source!FY36/100)*((ROUND(Source!AF36*Source!I36, 2)+ROUND(Source!AE36*Source!I36, 2))), 2)</f>
        <v>0</v>
      </c>
      <c r="V81">
        <f>Source!Y36</f>
        <v>0</v>
      </c>
      <c r="W81">
        <f>IF(Source!BI36&lt;=1,H81, 0)</f>
        <v>0</v>
      </c>
      <c r="X81">
        <f>IF(Source!BI36=2,H81, 0)</f>
        <v>0</v>
      </c>
      <c r="Y81">
        <f>IF(Source!BI36=3,H81, 0)</f>
        <v>0</v>
      </c>
      <c r="Z81">
        <f>IF(Source!BI36=4,H81, 0)</f>
        <v>0</v>
      </c>
    </row>
    <row r="82" spans="1:26" ht="28.5" x14ac:dyDescent="0.2">
      <c r="A82" s="47" t="str">
        <f>Source!E37</f>
        <v>5,2</v>
      </c>
      <c r="B82" s="48" t="str">
        <f>Source!F37</f>
        <v>11.3.03.13-0043</v>
      </c>
      <c r="C82" s="48" t="str">
        <f>Source!G37</f>
        <v>Уголок ПВХ, размером 20х20 мм</v>
      </c>
      <c r="D82" s="35" t="str">
        <f>Source!H37</f>
        <v>10 м</v>
      </c>
      <c r="E82" s="36">
        <f>Source!I37</f>
        <v>16.329999999999998</v>
      </c>
      <c r="F82" s="37">
        <f>Source!AL37+Source!AM37+Source!AO37</f>
        <v>25.6</v>
      </c>
      <c r="G82" s="42" t="s">
        <v>6</v>
      </c>
      <c r="H82" s="37">
        <f>ROUND(Source!AC37*Source!I37, 2)+ROUND(Source!AD37*Source!I37, 2)+ROUND(Source!AF37*Source!I37, 2)</f>
        <v>418.05</v>
      </c>
      <c r="I82" s="38"/>
      <c r="J82" s="38">
        <f>IF(Source!BC37&lt;&gt; 0, Source!BC37, 1)</f>
        <v>6.38</v>
      </c>
      <c r="K82" s="37">
        <f>Source!O37</f>
        <v>2667.15</v>
      </c>
      <c r="L82" s="43"/>
      <c r="S82">
        <f>ROUND((Source!FX37/100)*((ROUND(Source!AF37*Source!I37, 2)+ROUND(Source!AE37*Source!I37, 2))), 2)</f>
        <v>0</v>
      </c>
      <c r="T82">
        <f>Source!X37</f>
        <v>0</v>
      </c>
      <c r="U82">
        <f>ROUND((Source!FY37/100)*((ROUND(Source!AF37*Source!I37, 2)+ROUND(Source!AE37*Source!I37, 2))), 2)</f>
        <v>0</v>
      </c>
      <c r="V82">
        <f>Source!Y37</f>
        <v>0</v>
      </c>
      <c r="W82">
        <f>IF(Source!BI37&lt;=1,H82, 0)</f>
        <v>418.05</v>
      </c>
      <c r="X82">
        <f>IF(Source!BI37=2,H82, 0)</f>
        <v>0</v>
      </c>
      <c r="Y82">
        <f>IF(Source!BI37=3,H82, 0)</f>
        <v>0</v>
      </c>
      <c r="Z82">
        <f>IF(Source!BI37=4,H82, 0)</f>
        <v>0</v>
      </c>
    </row>
    <row r="83" spans="1:26" ht="15" x14ac:dyDescent="0.25">
      <c r="G83" s="71">
        <f>H76+H77+H78+H79+SUM(H81:H82)</f>
        <v>755.59999999999991</v>
      </c>
      <c r="H83" s="71"/>
      <c r="J83" s="71">
        <f>K76+K77+K78+K79+SUM(K81:K82)</f>
        <v>4822.46</v>
      </c>
      <c r="K83" s="71"/>
      <c r="L83" s="40">
        <f>Source!U35</f>
        <v>12.582265</v>
      </c>
      <c r="O83" s="24">
        <f>G83</f>
        <v>755.59999999999991</v>
      </c>
      <c r="P83" s="24">
        <f>J83</f>
        <v>4822.46</v>
      </c>
      <c r="Q83" s="24">
        <f>L83</f>
        <v>12.582265</v>
      </c>
      <c r="W83">
        <f>IF(Source!BI35&lt;=1,H76+H77+H78+H79, 0)</f>
        <v>337.54999999999995</v>
      </c>
      <c r="X83">
        <f>IF(Source!BI35=2,H76+H77+H78+H79, 0)</f>
        <v>0</v>
      </c>
      <c r="Y83">
        <f>IF(Source!BI35=3,H76+H77+H78+H79, 0)</f>
        <v>0</v>
      </c>
      <c r="Z83">
        <f>IF(Source!BI35=4,H76+H77+H78+H79, 0)</f>
        <v>0</v>
      </c>
    </row>
    <row r="84" spans="1:26" ht="28.5" x14ac:dyDescent="0.2">
      <c r="A84" s="45" t="str">
        <f>Source!E38</f>
        <v>6</v>
      </c>
      <c r="B84" s="46" t="str">
        <f>Source!F38</f>
        <v>10-01-035-01</v>
      </c>
      <c r="C84" s="46" t="str">
        <f>Source!G38</f>
        <v>Установка подоконных досок из ПВХ в каменных стенах толщиной до 0,51 м</v>
      </c>
      <c r="D84" s="29" t="str">
        <f>Source!H38</f>
        <v>100 м</v>
      </c>
      <c r="E84" s="11">
        <f>Source!I38</f>
        <v>0.59799999999999998</v>
      </c>
      <c r="F84" s="30">
        <f>Source!AL38+Source!AM38+Source!AO38</f>
        <v>4184.0599999999995</v>
      </c>
      <c r="G84" s="31"/>
      <c r="H84" s="30"/>
      <c r="I84" s="31" t="str">
        <f>Source!BO38</f>
        <v/>
      </c>
      <c r="J84" s="31"/>
      <c r="K84" s="30"/>
      <c r="L84" s="32"/>
      <c r="S84">
        <f>ROUND((Source!FX38/100)*((ROUND(Source!AF38*Source!I38, 2)+ROUND(Source!AE38*Source!I38, 2))), 2)</f>
        <v>133.81</v>
      </c>
      <c r="T84">
        <f>Source!X38</f>
        <v>852.14</v>
      </c>
      <c r="U84">
        <f>ROUND((Source!FY38/100)*((ROUND(Source!AF38*Source!I38, 2)+ROUND(Source!AE38*Source!I38, 2))), 2)</f>
        <v>67.47</v>
      </c>
      <c r="V84">
        <f>Source!Y38</f>
        <v>434.11</v>
      </c>
    </row>
    <row r="85" spans="1:26" x14ac:dyDescent="0.2">
      <c r="C85" s="23" t="str">
        <f>"Объем: "&amp;Source!I38&amp;"=59,8/"&amp;"100"</f>
        <v>Объем: 0,598=59,8/100</v>
      </c>
    </row>
    <row r="86" spans="1:26" ht="14.25" x14ac:dyDescent="0.2">
      <c r="A86" s="45"/>
      <c r="B86" s="46"/>
      <c r="C86" s="46" t="s">
        <v>319</v>
      </c>
      <c r="D86" s="29"/>
      <c r="E86" s="11"/>
      <c r="F86" s="30">
        <f>Source!AO38</f>
        <v>180.75</v>
      </c>
      <c r="G86" s="31" t="str">
        <f>Source!DG38</f>
        <v>)*1,15</v>
      </c>
      <c r="H86" s="30">
        <f>ROUND(Source!AF38*Source!I38, 2)</f>
        <v>124.3</v>
      </c>
      <c r="I86" s="31"/>
      <c r="J86" s="31">
        <f>IF(Source!BA38&lt;&gt; 0, Source!BA38, 1)</f>
        <v>6.38</v>
      </c>
      <c r="K86" s="30">
        <f>Source!S38</f>
        <v>793.04</v>
      </c>
      <c r="L86" s="32"/>
      <c r="R86">
        <f>H86</f>
        <v>124.3</v>
      </c>
    </row>
    <row r="87" spans="1:26" ht="14.25" x14ac:dyDescent="0.2">
      <c r="A87" s="45"/>
      <c r="B87" s="46"/>
      <c r="C87" s="46" t="s">
        <v>131</v>
      </c>
      <c r="D87" s="29"/>
      <c r="E87" s="11"/>
      <c r="F87" s="30">
        <f>Source!AM38</f>
        <v>11.11</v>
      </c>
      <c r="G87" s="31" t="str">
        <f>Source!DE38</f>
        <v>)*1,25</v>
      </c>
      <c r="H87" s="30">
        <f>ROUND(Source!AD38*Source!I38, 2)</f>
        <v>8.31</v>
      </c>
      <c r="I87" s="31"/>
      <c r="J87" s="31">
        <f>IF(Source!BB38&lt;&gt; 0, Source!BB38, 1)</f>
        <v>6.38</v>
      </c>
      <c r="K87" s="30">
        <f>Source!Q38</f>
        <v>52.99</v>
      </c>
      <c r="L87" s="32"/>
    </row>
    <row r="88" spans="1:26" ht="14.25" x14ac:dyDescent="0.2">
      <c r="A88" s="45"/>
      <c r="B88" s="46"/>
      <c r="C88" s="46" t="s">
        <v>320</v>
      </c>
      <c r="D88" s="29"/>
      <c r="E88" s="11"/>
      <c r="F88" s="30">
        <f>Source!AN38</f>
        <v>2.2799999999999998</v>
      </c>
      <c r="G88" s="31" t="str">
        <f>Source!DF38</f>
        <v>)*1,25</v>
      </c>
      <c r="H88" s="33">
        <f>ROUND(Source!AE38*Source!I38, 2)</f>
        <v>1.7</v>
      </c>
      <c r="I88" s="31"/>
      <c r="J88" s="31">
        <f>IF(Source!BS38&lt;&gt; 0, Source!BS38, 1)</f>
        <v>6.38</v>
      </c>
      <c r="K88" s="33">
        <f>Source!R38</f>
        <v>10.87</v>
      </c>
      <c r="L88" s="32"/>
      <c r="R88">
        <f>H88</f>
        <v>1.7</v>
      </c>
    </row>
    <row r="89" spans="1:26" ht="14.25" x14ac:dyDescent="0.2">
      <c r="A89" s="45"/>
      <c r="B89" s="46"/>
      <c r="C89" s="46" t="s">
        <v>326</v>
      </c>
      <c r="D89" s="29"/>
      <c r="E89" s="11"/>
      <c r="F89" s="30">
        <f>Source!AL38</f>
        <v>3992.2</v>
      </c>
      <c r="G89" s="31" t="str">
        <f>Source!DD38</f>
        <v/>
      </c>
      <c r="H89" s="30">
        <f>ROUND(Source!AC38*Source!I38, 2)</f>
        <v>2387.34</v>
      </c>
      <c r="I89" s="31"/>
      <c r="J89" s="31">
        <f>IF(Source!BC38&lt;&gt; 0, Source!BC38, 1)</f>
        <v>6.38</v>
      </c>
      <c r="K89" s="30">
        <f>Source!P38</f>
        <v>15231.2</v>
      </c>
      <c r="L89" s="32"/>
    </row>
    <row r="90" spans="1:26" ht="14.25" x14ac:dyDescent="0.2">
      <c r="A90" s="45"/>
      <c r="B90" s="46"/>
      <c r="C90" s="46" t="s">
        <v>321</v>
      </c>
      <c r="D90" s="29" t="s">
        <v>322</v>
      </c>
      <c r="E90" s="11">
        <f>Source!BZ38</f>
        <v>118</v>
      </c>
      <c r="F90" s="72" t="str">
        <f>CONCATENATE(" )", Source!DL38, Source!FT38, "=", Source!FX38)</f>
        <v xml:space="preserve"> )*0,9=106,2</v>
      </c>
      <c r="G90" s="73"/>
      <c r="H90" s="30">
        <f>SUM(S84:S93)</f>
        <v>133.81</v>
      </c>
      <c r="I90" s="34"/>
      <c r="J90" s="27">
        <f>Source!AT38</f>
        <v>106</v>
      </c>
      <c r="K90" s="30">
        <f>SUM(T84:T93)</f>
        <v>852.14</v>
      </c>
      <c r="L90" s="32"/>
    </row>
    <row r="91" spans="1:26" ht="14.25" x14ac:dyDescent="0.2">
      <c r="A91" s="45"/>
      <c r="B91" s="46"/>
      <c r="C91" s="46" t="s">
        <v>323</v>
      </c>
      <c r="D91" s="29" t="s">
        <v>322</v>
      </c>
      <c r="E91" s="11">
        <f>Source!CA38</f>
        <v>63</v>
      </c>
      <c r="F91" s="72" t="str">
        <f>CONCATENATE(" )", Source!DM38, Source!FU38, "=", Source!FY38)</f>
        <v xml:space="preserve"> )*0,85=53,55</v>
      </c>
      <c r="G91" s="73"/>
      <c r="H91" s="30">
        <f>SUM(U84:U93)</f>
        <v>67.47</v>
      </c>
      <c r="I91" s="34"/>
      <c r="J91" s="27">
        <f>Source!AU38</f>
        <v>54</v>
      </c>
      <c r="K91" s="30">
        <f>SUM(V84:V93)</f>
        <v>434.11</v>
      </c>
      <c r="L91" s="32"/>
    </row>
    <row r="92" spans="1:26" ht="14.25" x14ac:dyDescent="0.2">
      <c r="A92" s="45"/>
      <c r="B92" s="46"/>
      <c r="C92" s="46" t="s">
        <v>324</v>
      </c>
      <c r="D92" s="29" t="s">
        <v>325</v>
      </c>
      <c r="E92" s="11">
        <f>Source!AQ38</f>
        <v>21.19</v>
      </c>
      <c r="F92" s="30"/>
      <c r="G92" s="31" t="str">
        <f>Source!DI38</f>
        <v>)*1,15</v>
      </c>
      <c r="H92" s="30"/>
      <c r="I92" s="31"/>
      <c r="J92" s="31"/>
      <c r="K92" s="30"/>
      <c r="L92" s="41">
        <f>Source!U38</f>
        <v>14.572362999999999</v>
      </c>
    </row>
    <row r="93" spans="1:26" ht="85.5" x14ac:dyDescent="0.2">
      <c r="A93" s="47" t="str">
        <f>Source!E39</f>
        <v>6,1</v>
      </c>
      <c r="B93" s="48" t="str">
        <f>Source!F39</f>
        <v>Средняя цена коммерческих предложений</v>
      </c>
      <c r="C93" s="48" t="s">
        <v>330</v>
      </c>
      <c r="D93" s="35" t="str">
        <f>Source!H39</f>
        <v>м</v>
      </c>
      <c r="E93" s="36">
        <f>Source!I39</f>
        <v>59.8</v>
      </c>
      <c r="F93" s="37">
        <f>Source!AL39+Source!AM39+Source!AO39</f>
        <v>197.08</v>
      </c>
      <c r="G93" s="42" t="s">
        <v>6</v>
      </c>
      <c r="H93" s="37">
        <f>ROUND(Source!AC39*Source!I39, 2)+ROUND(Source!AD39*Source!I39, 2)+ROUND(Source!AF39*Source!I39, 2)</f>
        <v>11785.38</v>
      </c>
      <c r="I93" s="38"/>
      <c r="J93" s="38">
        <f>IF(Source!BC39&lt;&gt; 0, Source!BC39, 1)</f>
        <v>6.38</v>
      </c>
      <c r="K93" s="37">
        <f>Source!O39</f>
        <v>75190.75</v>
      </c>
      <c r="L93" s="43"/>
      <c r="S93">
        <f>ROUND((Source!FX39/100)*((ROUND(Source!AF39*Source!I39, 2)+ROUND(Source!AE39*Source!I39, 2))), 2)</f>
        <v>0</v>
      </c>
      <c r="T93">
        <f>Source!X39</f>
        <v>0</v>
      </c>
      <c r="U93">
        <f>ROUND((Source!FY39/100)*((ROUND(Source!AF39*Source!I39, 2)+ROUND(Source!AE39*Source!I39, 2))), 2)</f>
        <v>0</v>
      </c>
      <c r="V93">
        <f>Source!Y39</f>
        <v>0</v>
      </c>
      <c r="W93">
        <f>IF(Source!BI39&lt;=1,H93, 0)</f>
        <v>11785.38</v>
      </c>
      <c r="X93">
        <f>IF(Source!BI39=2,H93, 0)</f>
        <v>0</v>
      </c>
      <c r="Y93">
        <f>IF(Source!BI39=3,H93, 0)</f>
        <v>0</v>
      </c>
      <c r="Z93">
        <f>IF(Source!BI39=4,H93, 0)</f>
        <v>0</v>
      </c>
    </row>
    <row r="94" spans="1:26" ht="15" x14ac:dyDescent="0.25">
      <c r="G94" s="71">
        <f>H86+H87+H89+H90+H91+SUM(H93:H93)</f>
        <v>14506.609999999999</v>
      </c>
      <c r="H94" s="71"/>
      <c r="J94" s="71">
        <f>K86+K87+K89+K90+K91+SUM(K93:K93)</f>
        <v>92554.23000000001</v>
      </c>
      <c r="K94" s="71"/>
      <c r="L94" s="40">
        <f>Source!U38</f>
        <v>14.572362999999999</v>
      </c>
      <c r="O94" s="24">
        <f>G94</f>
        <v>14506.609999999999</v>
      </c>
      <c r="P94" s="24">
        <f>J94</f>
        <v>92554.23000000001</v>
      </c>
      <c r="Q94" s="24">
        <f>L94</f>
        <v>14.572362999999999</v>
      </c>
      <c r="W94">
        <f>IF(Source!BI38&lt;=1,H86+H87+H89+H90+H91, 0)</f>
        <v>2721.23</v>
      </c>
      <c r="X94">
        <f>IF(Source!BI38=2,H86+H87+H89+H90+H91, 0)</f>
        <v>0</v>
      </c>
      <c r="Y94">
        <f>IF(Source!BI38=3,H86+H87+H89+H90+H91, 0)</f>
        <v>0</v>
      </c>
      <c r="Z94">
        <f>IF(Source!BI38=4,H86+H87+H89+H90+H91, 0)</f>
        <v>0</v>
      </c>
    </row>
    <row r="95" spans="1:26" ht="42.75" x14ac:dyDescent="0.2">
      <c r="A95" s="47" t="str">
        <f>Source!E40</f>
        <v>7</v>
      </c>
      <c r="B95" s="48" t="str">
        <f>Source!F40</f>
        <v>т01-01-01-041</v>
      </c>
      <c r="C95" s="48" t="str">
        <f>Source!G40</f>
        <v>Погрузочные работы при автомобильных перевозках мусора строительного с погрузкой вручную</v>
      </c>
      <c r="D95" s="35" t="str">
        <f>Source!H40</f>
        <v>1 Т ГРУЗА</v>
      </c>
      <c r="E95" s="36">
        <f>Source!I40</f>
        <v>6</v>
      </c>
      <c r="F95" s="37">
        <f>Source!AK40</f>
        <v>42.98</v>
      </c>
      <c r="G95" s="38" t="str">
        <f>Source!DC40</f>
        <v/>
      </c>
      <c r="H95" s="37">
        <f>ROUND(Source!AB40*Source!I40, 2)</f>
        <v>257.88</v>
      </c>
      <c r="I95" s="38" t="str">
        <f>Source!BO40</f>
        <v/>
      </c>
      <c r="J95" s="38">
        <f>Source!AZ40</f>
        <v>6.38</v>
      </c>
      <c r="K95" s="37">
        <f>Source!GM40</f>
        <v>1645.27</v>
      </c>
      <c r="L95" s="43"/>
      <c r="S95">
        <f>ROUND((Source!FX40/100)*((ROUND(0*Source!I40, 2)+ROUND(0*Source!I40, 2))), 2)</f>
        <v>0</v>
      </c>
      <c r="T95">
        <f>Source!X40</f>
        <v>0</v>
      </c>
      <c r="U95">
        <f>ROUND((Source!FY40/100)*((ROUND(0*Source!I40, 2)+ROUND(0*Source!I40, 2))), 2)</f>
        <v>0</v>
      </c>
      <c r="V95">
        <f>Source!Y40</f>
        <v>0</v>
      </c>
    </row>
    <row r="96" spans="1:26" ht="15" x14ac:dyDescent="0.25">
      <c r="G96" s="71">
        <f>H95</f>
        <v>257.88</v>
      </c>
      <c r="H96" s="71"/>
      <c r="J96" s="71">
        <f>K95</f>
        <v>1645.27</v>
      </c>
      <c r="K96" s="71"/>
      <c r="L96" s="40">
        <f>Source!U40</f>
        <v>0</v>
      </c>
      <c r="O96" s="24">
        <f>G96</f>
        <v>257.88</v>
      </c>
      <c r="P96" s="24">
        <f>J96</f>
        <v>1645.27</v>
      </c>
      <c r="Q96" s="24">
        <f>L96</f>
        <v>0</v>
      </c>
      <c r="W96">
        <f>IF(Source!BI40&lt;=1,H95, 0)</f>
        <v>257.88</v>
      </c>
      <c r="X96">
        <f>IF(Source!BI40=2,H95, 0)</f>
        <v>0</v>
      </c>
      <c r="Y96">
        <f>IF(Source!BI40=3,H95, 0)</f>
        <v>0</v>
      </c>
      <c r="Z96">
        <f>IF(Source!BI40=4,H95, 0)</f>
        <v>0</v>
      </c>
    </row>
    <row r="97" spans="1:26" ht="57" x14ac:dyDescent="0.2">
      <c r="A97" s="47" t="str">
        <f>Source!E41</f>
        <v>8</v>
      </c>
      <c r="B97" s="48" t="str">
        <f>Source!F41</f>
        <v>т03-01-01-015</v>
      </c>
      <c r="C97" s="48" t="str">
        <f>Source!G41</f>
        <v>Перевозка грузов I класса автомобилями бортовыми грузоподъемностью до 15 т на расстояние до 15 км</v>
      </c>
      <c r="D97" s="35" t="str">
        <f>Source!H41</f>
        <v>1 Т ГРУЗА</v>
      </c>
      <c r="E97" s="36">
        <f>Source!I41</f>
        <v>6</v>
      </c>
      <c r="F97" s="37">
        <f>Source!AK41</f>
        <v>14.03</v>
      </c>
      <c r="G97" s="38" t="str">
        <f>Source!DC41</f>
        <v/>
      </c>
      <c r="H97" s="37">
        <f>ROUND(Source!AB41*Source!I41, 2)</f>
        <v>84.18</v>
      </c>
      <c r="I97" s="38" t="str">
        <f>Source!BO41</f>
        <v/>
      </c>
      <c r="J97" s="38">
        <f>Source!AZ41</f>
        <v>6.38</v>
      </c>
      <c r="K97" s="37">
        <f>Source!GM41</f>
        <v>537.07000000000005</v>
      </c>
      <c r="L97" s="43"/>
      <c r="S97">
        <f>ROUND((Source!FX41/100)*((ROUND(0*Source!I41, 2)+ROUND(0*Source!I41, 2))), 2)</f>
        <v>0</v>
      </c>
      <c r="T97">
        <f>Source!X41</f>
        <v>0</v>
      </c>
      <c r="U97">
        <f>ROUND((Source!FY41/100)*((ROUND(0*Source!I41, 2)+ROUND(0*Source!I41, 2))), 2)</f>
        <v>0</v>
      </c>
      <c r="V97">
        <f>Source!Y41</f>
        <v>0</v>
      </c>
    </row>
    <row r="98" spans="1:26" ht="15" x14ac:dyDescent="0.25">
      <c r="G98" s="71">
        <f>H97</f>
        <v>84.18</v>
      </c>
      <c r="H98" s="71"/>
      <c r="J98" s="71">
        <f>K97</f>
        <v>537.07000000000005</v>
      </c>
      <c r="K98" s="71"/>
      <c r="L98" s="40">
        <f>Source!U41</f>
        <v>0</v>
      </c>
      <c r="O98" s="24">
        <f>G98</f>
        <v>84.18</v>
      </c>
      <c r="P98" s="24">
        <f>J98</f>
        <v>537.07000000000005</v>
      </c>
      <c r="Q98" s="24">
        <f>L98</f>
        <v>0</v>
      </c>
      <c r="W98">
        <f>IF(Source!BI41&lt;=1,H97, 0)</f>
        <v>84.18</v>
      </c>
      <c r="X98">
        <f>IF(Source!BI41=2,H97, 0)</f>
        <v>0</v>
      </c>
      <c r="Y98">
        <f>IF(Source!BI41=3,H97, 0)</f>
        <v>0</v>
      </c>
      <c r="Z98">
        <f>IF(Source!BI41=4,H97, 0)</f>
        <v>0</v>
      </c>
    </row>
    <row r="100" spans="1:26" ht="15" x14ac:dyDescent="0.25">
      <c r="A100" s="76" t="str">
        <f>CONCATENATE("Итого по локальной смете: ",IF(Source!G43&lt;&gt;"Новая локальная смета", Source!G43, ""))</f>
        <v xml:space="preserve">Итого по локальной смете: </v>
      </c>
      <c r="B100" s="76"/>
      <c r="C100" s="76"/>
      <c r="D100" s="76"/>
      <c r="E100" s="76"/>
      <c r="F100" s="76"/>
      <c r="G100" s="75">
        <f>SUM(O27:O99)</f>
        <v>125734.46000000002</v>
      </c>
      <c r="H100" s="75"/>
      <c r="I100" s="26"/>
      <c r="J100" s="75">
        <f>SUM(P27:P99)</f>
        <v>802343.99999999988</v>
      </c>
      <c r="K100" s="75"/>
      <c r="L100" s="40">
        <f>SUM(Q27:Q99)</f>
        <v>642.25272219999999</v>
      </c>
    </row>
    <row r="101" spans="1:26" ht="15" x14ac:dyDescent="0.25">
      <c r="C101" s="76" t="str">
        <f>Source!H71</f>
        <v>Итого</v>
      </c>
      <c r="D101" s="76"/>
      <c r="E101" s="76"/>
      <c r="F101" s="76"/>
      <c r="G101" s="76"/>
      <c r="H101" s="76"/>
      <c r="I101" s="76"/>
      <c r="J101" s="75">
        <f>IF(Source!F71=0, "", Source!F71)</f>
        <v>802344</v>
      </c>
      <c r="K101" s="75"/>
    </row>
    <row r="102" spans="1:26" ht="15" x14ac:dyDescent="0.25">
      <c r="C102" s="76" t="str">
        <f>Source!H72</f>
        <v>НДС 18%</v>
      </c>
      <c r="D102" s="76"/>
      <c r="E102" s="76"/>
      <c r="F102" s="76"/>
      <c r="G102" s="76"/>
      <c r="H102" s="76"/>
      <c r="I102" s="76"/>
      <c r="J102" s="75">
        <f>IF(Source!F72=0, "", Source!F72)</f>
        <v>144421.92000000001</v>
      </c>
      <c r="K102" s="75"/>
    </row>
    <row r="103" spans="1:26" ht="15" x14ac:dyDescent="0.25">
      <c r="C103" s="76" t="str">
        <f>Source!H73</f>
        <v>Всего</v>
      </c>
      <c r="D103" s="76"/>
      <c r="E103" s="76"/>
      <c r="F103" s="76"/>
      <c r="G103" s="76"/>
      <c r="H103" s="76"/>
      <c r="I103" s="76"/>
      <c r="J103" s="75">
        <f>IF(Source!F73=0, "", Source!F73)</f>
        <v>946765.92</v>
      </c>
      <c r="K103" s="75"/>
    </row>
    <row r="104" spans="1:26" x14ac:dyDescent="0.2">
      <c r="C104" s="63"/>
      <c r="D104" s="63"/>
      <c r="E104" s="63"/>
      <c r="F104" s="63"/>
      <c r="G104" s="63"/>
      <c r="H104" s="63"/>
      <c r="I104" s="63"/>
      <c r="J104" s="63"/>
      <c r="K104" s="63"/>
    </row>
    <row r="106" spans="1:26" x14ac:dyDescent="0.2">
      <c r="B106" s="66"/>
      <c r="C106" s="66"/>
      <c r="D106" s="66"/>
      <c r="E106" s="66"/>
      <c r="F106" s="66"/>
      <c r="G106" s="66"/>
      <c r="H106" s="66"/>
      <c r="I106" s="66"/>
    </row>
    <row r="107" spans="1:26" ht="14.25" x14ac:dyDescent="0.2">
      <c r="A107" s="25" t="s">
        <v>331</v>
      </c>
      <c r="B107" s="67"/>
      <c r="C107" s="68"/>
      <c r="D107" s="69"/>
      <c r="E107" s="69"/>
      <c r="F107" s="69"/>
      <c r="G107" s="69"/>
      <c r="H107" s="70"/>
      <c r="I107" s="70"/>
      <c r="J107" s="12"/>
      <c r="K107" s="12"/>
      <c r="L107" s="12"/>
    </row>
    <row r="108" spans="1:26" ht="14.25" x14ac:dyDescent="0.2">
      <c r="A108" s="12"/>
      <c r="B108" s="69"/>
      <c r="C108" s="68"/>
      <c r="D108" s="77"/>
      <c r="E108" s="77"/>
      <c r="F108" s="77"/>
      <c r="G108" s="77"/>
      <c r="H108" s="77"/>
      <c r="I108" s="69"/>
      <c r="J108" s="12"/>
      <c r="K108" s="12"/>
      <c r="L108" s="12"/>
    </row>
    <row r="109" spans="1:26" ht="14.25" x14ac:dyDescent="0.2">
      <c r="A109" s="12"/>
      <c r="B109" s="69"/>
      <c r="C109" s="68"/>
      <c r="D109" s="69"/>
      <c r="E109" s="69"/>
      <c r="F109" s="69"/>
      <c r="G109" s="69"/>
      <c r="H109" s="69"/>
      <c r="I109" s="69"/>
      <c r="J109" s="12"/>
      <c r="K109" s="12"/>
      <c r="L109" s="12"/>
    </row>
    <row r="110" spans="1:26" ht="14.25" x14ac:dyDescent="0.2">
      <c r="A110" s="25" t="s">
        <v>331</v>
      </c>
      <c r="B110" s="67"/>
      <c r="C110" s="68"/>
      <c r="D110" s="69"/>
      <c r="E110" s="69"/>
      <c r="F110" s="69"/>
      <c r="G110" s="69"/>
      <c r="H110" s="70"/>
      <c r="I110" s="70"/>
      <c r="J110" s="12"/>
      <c r="K110" s="12"/>
      <c r="L110" s="12"/>
    </row>
    <row r="111" spans="1:26" ht="14.25" x14ac:dyDescent="0.2">
      <c r="A111" s="12"/>
      <c r="B111" s="69"/>
      <c r="C111" s="69"/>
      <c r="D111" s="77"/>
      <c r="E111" s="77"/>
      <c r="F111" s="77"/>
      <c r="G111" s="77"/>
      <c r="H111" s="77"/>
      <c r="I111" s="69"/>
      <c r="J111" s="12"/>
      <c r="K111" s="12"/>
      <c r="L111" s="12"/>
    </row>
    <row r="112" spans="1:26" x14ac:dyDescent="0.2">
      <c r="B112" s="66"/>
      <c r="C112" s="66"/>
      <c r="D112" s="66"/>
      <c r="E112" s="66"/>
      <c r="F112" s="66"/>
      <c r="G112" s="66"/>
      <c r="H112" s="66"/>
      <c r="I112" s="66"/>
    </row>
    <row r="113" spans="2:9" x14ac:dyDescent="0.2">
      <c r="B113" s="66"/>
      <c r="C113" s="66"/>
      <c r="D113" s="66"/>
      <c r="E113" s="66"/>
      <c r="F113" s="66"/>
      <c r="G113" s="66"/>
      <c r="H113" s="66"/>
      <c r="I113" s="66"/>
    </row>
    <row r="114" spans="2:9" x14ac:dyDescent="0.2">
      <c r="B114" s="66"/>
      <c r="C114" s="66"/>
      <c r="D114" s="66"/>
      <c r="E114" s="66"/>
      <c r="F114" s="66"/>
      <c r="G114" s="66"/>
      <c r="H114" s="66"/>
      <c r="I114" s="66"/>
    </row>
  </sheetData>
  <mergeCells count="78">
    <mergeCell ref="G14:H14"/>
    <mergeCell ref="I14:J14"/>
    <mergeCell ref="B4:K4"/>
    <mergeCell ref="B6:K6"/>
    <mergeCell ref="B8:K8"/>
    <mergeCell ref="B9:K9"/>
    <mergeCell ref="A11:L11"/>
    <mergeCell ref="C15:F15"/>
    <mergeCell ref="G15:H15"/>
    <mergeCell ref="I15:J15"/>
    <mergeCell ref="K15:L15"/>
    <mergeCell ref="C16:F16"/>
    <mergeCell ref="G16:H16"/>
    <mergeCell ref="I16:J16"/>
    <mergeCell ref="K16:L16"/>
    <mergeCell ref="C17:F17"/>
    <mergeCell ref="G17:H17"/>
    <mergeCell ref="I17:J17"/>
    <mergeCell ref="K17:L17"/>
    <mergeCell ref="C18:F18"/>
    <mergeCell ref="G18:H18"/>
    <mergeCell ref="I18:J18"/>
    <mergeCell ref="K18:L18"/>
    <mergeCell ref="C19:F19"/>
    <mergeCell ref="G19:H19"/>
    <mergeCell ref="I19:J19"/>
    <mergeCell ref="K19:L19"/>
    <mergeCell ref="C20:F20"/>
    <mergeCell ref="G20:H20"/>
    <mergeCell ref="I20:J20"/>
    <mergeCell ref="K20:L20"/>
    <mergeCell ref="D111:H111"/>
    <mergeCell ref="C21:F21"/>
    <mergeCell ref="G21:H21"/>
    <mergeCell ref="I21:J21"/>
    <mergeCell ref="K21:L21"/>
    <mergeCell ref="A23:L23"/>
    <mergeCell ref="C101:I101"/>
    <mergeCell ref="J101:K101"/>
    <mergeCell ref="J94:K94"/>
    <mergeCell ref="G94:H94"/>
    <mergeCell ref="F91:G91"/>
    <mergeCell ref="C102:I102"/>
    <mergeCell ref="J102:K102"/>
    <mergeCell ref="C103:I103"/>
    <mergeCell ref="J103:K103"/>
    <mergeCell ref="D108:H108"/>
    <mergeCell ref="A27:L27"/>
    <mergeCell ref="G100:H100"/>
    <mergeCell ref="J100:K100"/>
    <mergeCell ref="A100:F100"/>
    <mergeCell ref="J98:K98"/>
    <mergeCell ref="J47:K47"/>
    <mergeCell ref="G47:H47"/>
    <mergeCell ref="F44:G44"/>
    <mergeCell ref="F43:G43"/>
    <mergeCell ref="J36:K36"/>
    <mergeCell ref="G36:H36"/>
    <mergeCell ref="F67:G67"/>
    <mergeCell ref="F66:G66"/>
    <mergeCell ref="J59:K59"/>
    <mergeCell ref="G59:H59"/>
    <mergeCell ref="F55:G55"/>
    <mergeCell ref="F34:G34"/>
    <mergeCell ref="F33:G33"/>
    <mergeCell ref="F54:G54"/>
    <mergeCell ref="F90:G90"/>
    <mergeCell ref="J83:K83"/>
    <mergeCell ref="G83:H83"/>
    <mergeCell ref="F79:G79"/>
    <mergeCell ref="F78:G78"/>
    <mergeCell ref="J73:K73"/>
    <mergeCell ref="G73:H73"/>
    <mergeCell ref="H110:I110"/>
    <mergeCell ref="H107:I107"/>
    <mergeCell ref="G98:H98"/>
    <mergeCell ref="J96:K96"/>
    <mergeCell ref="G96:H96"/>
  </mergeCells>
  <pageMargins left="0.4" right="0.2" top="0.4" bottom="0.4" header="0.2" footer="0.2"/>
  <pageSetup paperSize="9" scale="60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3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0" t="str">
        <f>Source!B1</f>
        <v>Smeta.RU  (495) 974-1589</v>
      </c>
    </row>
    <row r="2" spans="1:31" ht="15" x14ac:dyDescent="0.25">
      <c r="A2" s="26"/>
      <c r="B2" s="26"/>
      <c r="C2" s="26"/>
      <c r="D2" s="26"/>
      <c r="E2" s="114" t="s">
        <v>332</v>
      </c>
      <c r="F2" s="114"/>
      <c r="G2" s="114"/>
      <c r="H2" s="114"/>
    </row>
    <row r="3" spans="1:31" ht="14.25" x14ac:dyDescent="0.2">
      <c r="A3" s="12"/>
      <c r="B3" s="12"/>
      <c r="C3" s="12"/>
      <c r="D3" s="12"/>
      <c r="E3" s="114" t="s">
        <v>333</v>
      </c>
      <c r="F3" s="114"/>
      <c r="G3" s="114"/>
      <c r="H3" s="114"/>
    </row>
    <row r="4" spans="1:31" ht="14.25" x14ac:dyDescent="0.2">
      <c r="A4" s="12"/>
      <c r="B4" s="12"/>
      <c r="C4" s="12"/>
      <c r="D4" s="12"/>
      <c r="E4" s="114" t="s">
        <v>334</v>
      </c>
      <c r="F4" s="114"/>
      <c r="G4" s="114"/>
      <c r="H4" s="114"/>
    </row>
    <row r="5" spans="1:31" ht="14.25" x14ac:dyDescent="0.2">
      <c r="A5" s="12"/>
      <c r="B5" s="12"/>
      <c r="C5" s="12"/>
      <c r="D5" s="12"/>
      <c r="E5" s="12"/>
      <c r="F5" s="12"/>
      <c r="G5" s="12"/>
      <c r="H5" s="12"/>
    </row>
    <row r="6" spans="1:31" ht="14.25" x14ac:dyDescent="0.2">
      <c r="A6" s="12"/>
      <c r="B6" s="12"/>
      <c r="C6" s="12"/>
      <c r="D6" s="12"/>
      <c r="E6" s="12"/>
      <c r="F6" s="12"/>
      <c r="G6" s="98" t="s">
        <v>335</v>
      </c>
      <c r="H6" s="99"/>
    </row>
    <row r="7" spans="1:31" ht="14.25" x14ac:dyDescent="0.2">
      <c r="A7" s="12"/>
      <c r="B7" s="12"/>
      <c r="C7" s="12"/>
      <c r="D7" s="12"/>
      <c r="E7" s="12"/>
      <c r="F7" s="11" t="s">
        <v>336</v>
      </c>
      <c r="G7" s="115" t="s">
        <v>337</v>
      </c>
      <c r="H7" s="99"/>
    </row>
    <row r="8" spans="1:31" ht="14.25" x14ac:dyDescent="0.2">
      <c r="A8" s="12"/>
      <c r="B8" s="12"/>
      <c r="C8" s="12"/>
      <c r="D8" s="12"/>
      <c r="E8" s="12"/>
      <c r="F8" s="12"/>
      <c r="G8" s="98" t="str">
        <f>IF(Source!AT15 &lt;&gt; "", Source!AT15, "")</f>
        <v/>
      </c>
      <c r="H8" s="99"/>
    </row>
    <row r="9" spans="1:31" ht="14.25" x14ac:dyDescent="0.2">
      <c r="A9" s="12" t="s">
        <v>338</v>
      </c>
      <c r="B9" s="12"/>
      <c r="C9" s="111" t="str">
        <f>IF(Source!BA15 &lt;&gt; "", Source!BA15, IF(Source!AU15 &lt;&gt; "", Source!AU15, ""))</f>
        <v/>
      </c>
      <c r="D9" s="111"/>
      <c r="E9" s="111"/>
      <c r="F9" s="11" t="s">
        <v>339</v>
      </c>
      <c r="G9" s="109"/>
      <c r="H9" s="110"/>
    </row>
    <row r="10" spans="1:31" ht="14.25" x14ac:dyDescent="0.2">
      <c r="A10" s="12"/>
      <c r="B10" s="12"/>
      <c r="C10" s="96" t="s">
        <v>340</v>
      </c>
      <c r="D10" s="96"/>
      <c r="E10" s="96"/>
      <c r="F10" s="12"/>
      <c r="G10" s="98" t="str">
        <f>IF(Source!AK15 &lt;&gt; "", Source!AK15, "")</f>
        <v/>
      </c>
      <c r="H10" s="99"/>
    </row>
    <row r="11" spans="1:31" ht="14.25" x14ac:dyDescent="0.2">
      <c r="A11" s="12" t="s">
        <v>341</v>
      </c>
      <c r="B11" s="12"/>
      <c r="C11" s="111" t="str">
        <f>IF(Source!AX12&lt;&gt; "", Source!AX12, IF(Source!AJ12 &lt;&gt; "", Source!AJ12, ""))</f>
        <v/>
      </c>
      <c r="D11" s="111"/>
      <c r="E11" s="111"/>
      <c r="F11" s="11" t="s">
        <v>339</v>
      </c>
      <c r="G11" s="109"/>
      <c r="H11" s="110"/>
    </row>
    <row r="12" spans="1:31" ht="14.25" x14ac:dyDescent="0.2">
      <c r="A12" s="12"/>
      <c r="B12" s="12"/>
      <c r="C12" s="96" t="s">
        <v>340</v>
      </c>
      <c r="D12" s="96"/>
      <c r="E12" s="96"/>
      <c r="F12" s="12"/>
      <c r="G12" s="98" t="str">
        <f>IF(Source!AO15 &lt;&gt; "", Source!AO15, "")</f>
        <v/>
      </c>
      <c r="H12" s="99"/>
    </row>
    <row r="13" spans="1:31" ht="14.25" x14ac:dyDescent="0.2">
      <c r="A13" s="12" t="s">
        <v>342</v>
      </c>
      <c r="B13" s="12"/>
      <c r="C13" s="111" t="str">
        <f>IF(Source!AY12&lt;&gt; "", Source!AY12, IF(Source!AN12 &lt;&gt; "", Source!AN12, ""))</f>
        <v/>
      </c>
      <c r="D13" s="111"/>
      <c r="E13" s="111"/>
      <c r="F13" s="11" t="s">
        <v>339</v>
      </c>
      <c r="G13" s="109"/>
      <c r="H13" s="110"/>
    </row>
    <row r="14" spans="1:31" ht="14.25" x14ac:dyDescent="0.2">
      <c r="A14" s="12"/>
      <c r="B14" s="12"/>
      <c r="C14" s="96" t="s">
        <v>340</v>
      </c>
      <c r="D14" s="96"/>
      <c r="E14" s="96"/>
      <c r="F14" s="12"/>
      <c r="G14" s="98" t="str">
        <f>IF(Source!CO15 &lt;&gt; "", Source!CO15, "")</f>
        <v/>
      </c>
      <c r="H14" s="99"/>
    </row>
    <row r="15" spans="1:31" ht="28.5" x14ac:dyDescent="0.2">
      <c r="A15" s="12" t="s">
        <v>343</v>
      </c>
      <c r="B15" s="12"/>
      <c r="C15" s="111" t="s">
        <v>5</v>
      </c>
      <c r="D15" s="111"/>
      <c r="E15" s="111"/>
      <c r="F15" s="12"/>
      <c r="G15" s="109"/>
      <c r="H15" s="110"/>
      <c r="AE15" s="28" t="s">
        <v>5</v>
      </c>
    </row>
    <row r="16" spans="1:31" ht="14.25" x14ac:dyDescent="0.2">
      <c r="A16" s="12"/>
      <c r="B16" s="12"/>
      <c r="C16" s="96" t="s">
        <v>344</v>
      </c>
      <c r="D16" s="96"/>
      <c r="E16" s="96"/>
      <c r="F16" s="12"/>
      <c r="G16" s="98" t="str">
        <f>IF(Source!CP15 &lt;&gt; "", Source!CP15, "")</f>
        <v/>
      </c>
      <c r="H16" s="99"/>
    </row>
    <row r="17" spans="1:31" ht="142.5" x14ac:dyDescent="0.2">
      <c r="A17" s="12" t="s">
        <v>345</v>
      </c>
      <c r="B17" s="12"/>
      <c r="C17" s="111" t="str">
        <f>IF(Source!G12&lt;&gt;"Новый объект", Source!G12, "")</f>
        <v xml:space="preserve"> по капитальному ремонту оконных проемов с заменой деревянных оконных блоков на оконные блоки из ПВХ на лестничных клетках с второго по четвертый этажи,в кабинетах № 8, № 1,   аудиториях № 7, № 6,№ 5,№ 3,№ 15,№ 16,№ 18, № 11, препараторских № 4,№ 17 четвертого этажа здания учебного корпуса Нововоронежского политехнического колледжа -                                                   филиала  НИЯУ МИФИ  (НВПК НИЯУ МИФИ) по адреcу:  Воронежская обл.,  г. Нововоронеж, ул. Октябрьская, д.1                 
</v>
      </c>
      <c r="D17" s="111"/>
      <c r="E17" s="111"/>
      <c r="F17" s="12"/>
      <c r="G17" s="112"/>
      <c r="H17" s="113"/>
      <c r="AE17" s="28" t="str">
        <f>IF(Source!G12&lt;&gt;"Новый объект", Source!G12, "")</f>
        <v xml:space="preserve"> по капитальному ремонту оконных проемов с заменой деревянных оконных блоков на оконные блоки из ПВХ на лестничных клетках с второго по четвертый этажи,в кабинетах № 8, № 1,   аудиториях № 7, № 6,№ 5,№ 3,№ 15,№ 16,№ 18, № 11, препараторских № 4,№ 17 четвертого этажа здания учебного корпуса Нововоронежского политехнического колледжа -                                                   филиала  НИЯУ МИФИ  (НВПК НИЯУ МИФИ) по адреcу:  Воронежская обл.,  г. Нововоронеж, ул. Октябрьская, д.1                 
</v>
      </c>
    </row>
    <row r="18" spans="1:31" ht="14.25" x14ac:dyDescent="0.2">
      <c r="A18" s="12"/>
      <c r="B18" s="12"/>
      <c r="C18" s="96" t="s">
        <v>346</v>
      </c>
      <c r="D18" s="96"/>
      <c r="E18" s="96"/>
      <c r="F18" s="12"/>
      <c r="G18" s="12"/>
      <c r="H18" s="12"/>
    </row>
    <row r="19" spans="1:31" ht="14.25" x14ac:dyDescent="0.2">
      <c r="A19" s="12"/>
      <c r="B19" s="12"/>
      <c r="C19" s="12"/>
      <c r="D19" s="82" t="s">
        <v>347</v>
      </c>
      <c r="E19" s="82"/>
      <c r="F19" s="97"/>
      <c r="G19" s="98" t="str">
        <f>IF(Source!CQ15 &lt;&gt; "", Source!CQ15, "")</f>
        <v/>
      </c>
      <c r="H19" s="99"/>
    </row>
    <row r="20" spans="1:31" ht="14.25" x14ac:dyDescent="0.2">
      <c r="A20" s="12"/>
      <c r="B20" s="12"/>
      <c r="C20" s="12"/>
      <c r="D20" s="82" t="s">
        <v>348</v>
      </c>
      <c r="E20" s="97"/>
      <c r="F20" s="51" t="s">
        <v>349</v>
      </c>
      <c r="G20" s="98" t="str">
        <f>IF(Source!CR15 &lt;&gt; "", Source!CR15, "")</f>
        <v/>
      </c>
      <c r="H20" s="99"/>
    </row>
    <row r="21" spans="1:31" ht="14.25" x14ac:dyDescent="0.2">
      <c r="A21" s="12"/>
      <c r="B21" s="12"/>
      <c r="C21" s="12"/>
      <c r="D21" s="12"/>
      <c r="E21" s="12"/>
      <c r="F21" s="20" t="s">
        <v>350</v>
      </c>
      <c r="G21" s="100" t="str">
        <f>IF(Source!CS15 &lt;&gt; 0, Source!CS15, "")</f>
        <v/>
      </c>
      <c r="H21" s="101"/>
    </row>
    <row r="22" spans="1:31" ht="14.25" x14ac:dyDescent="0.2">
      <c r="A22" s="12"/>
      <c r="B22" s="12"/>
      <c r="C22" s="12"/>
      <c r="D22" s="12"/>
      <c r="E22" s="12"/>
      <c r="F22" s="11" t="s">
        <v>351</v>
      </c>
      <c r="G22" s="102" t="str">
        <f>IF(Source!CT15 &lt;&gt; "", Source!CT15, "")</f>
        <v/>
      </c>
      <c r="H22" s="103"/>
    </row>
    <row r="23" spans="1:31" ht="14.25" x14ac:dyDescent="0.2">
      <c r="A23" s="12"/>
      <c r="B23" s="12"/>
      <c r="C23" s="12"/>
      <c r="D23" s="12"/>
      <c r="E23" s="12"/>
      <c r="F23" s="12"/>
      <c r="G23" s="12"/>
      <c r="H23" s="12"/>
    </row>
    <row r="24" spans="1:31" ht="14.25" x14ac:dyDescent="0.2">
      <c r="A24" s="12"/>
      <c r="B24" s="12"/>
      <c r="C24" s="12"/>
      <c r="D24" s="104" t="s">
        <v>352</v>
      </c>
      <c r="E24" s="106" t="s">
        <v>353</v>
      </c>
      <c r="F24" s="106" t="s">
        <v>354</v>
      </c>
      <c r="G24" s="108"/>
      <c r="H24" s="12"/>
    </row>
    <row r="25" spans="1:31" ht="14.25" x14ac:dyDescent="0.2">
      <c r="A25" s="12"/>
      <c r="B25" s="12"/>
      <c r="C25" s="12"/>
      <c r="D25" s="105"/>
      <c r="E25" s="107"/>
      <c r="F25" s="52" t="s">
        <v>355</v>
      </c>
      <c r="G25" s="53" t="s">
        <v>356</v>
      </c>
      <c r="H25" s="12"/>
    </row>
    <row r="26" spans="1:31" ht="14.25" x14ac:dyDescent="0.2">
      <c r="A26" s="12"/>
      <c r="B26" s="12"/>
      <c r="C26" s="12"/>
      <c r="D26" s="54" t="str">
        <f>IF(Source!CN15 &lt;&gt; "", Source!CN15, "")</f>
        <v/>
      </c>
      <c r="E26" s="55">
        <v>43207.422650462962</v>
      </c>
      <c r="F26" s="54"/>
      <c r="G26" s="56"/>
      <c r="H26" s="12"/>
    </row>
    <row r="27" spans="1:31" ht="14.25" x14ac:dyDescent="0.2">
      <c r="A27" s="12"/>
      <c r="B27" s="12"/>
      <c r="C27" s="12"/>
      <c r="D27" s="12"/>
      <c r="E27" s="12"/>
      <c r="F27" s="12"/>
      <c r="G27" s="12"/>
      <c r="H27" s="12"/>
    </row>
    <row r="28" spans="1:31" ht="18" x14ac:dyDescent="0.25">
      <c r="A28" s="95" t="s">
        <v>357</v>
      </c>
      <c r="B28" s="95"/>
      <c r="C28" s="95"/>
      <c r="D28" s="95"/>
      <c r="E28" s="95"/>
      <c r="F28" s="95"/>
      <c r="G28" s="95"/>
      <c r="H28" s="95"/>
    </row>
    <row r="29" spans="1:31" ht="18" x14ac:dyDescent="0.25">
      <c r="A29" s="95" t="s">
        <v>358</v>
      </c>
      <c r="B29" s="95"/>
      <c r="C29" s="95"/>
      <c r="D29" s="95"/>
      <c r="E29" s="95"/>
      <c r="F29" s="95"/>
      <c r="G29" s="95"/>
      <c r="H29" s="95"/>
    </row>
    <row r="30" spans="1:31" ht="14.25" x14ac:dyDescent="0.2">
      <c r="A30" s="12"/>
      <c r="B30" s="12"/>
      <c r="C30" s="12"/>
      <c r="D30" s="12"/>
      <c r="E30" s="12"/>
      <c r="F30" s="12"/>
      <c r="G30" s="12"/>
      <c r="H30" s="12"/>
    </row>
    <row r="31" spans="1:31" ht="15" x14ac:dyDescent="0.25">
      <c r="A31" s="9" t="s">
        <v>359</v>
      </c>
      <c r="B31" s="12"/>
      <c r="C31" s="12"/>
      <c r="D31" s="12"/>
      <c r="E31" s="12"/>
      <c r="F31" s="93">
        <f>(Source!F102/1000)</f>
        <v>802.34400000000005</v>
      </c>
      <c r="G31" s="93"/>
      <c r="H31" s="12" t="s">
        <v>360</v>
      </c>
    </row>
    <row r="32" spans="1:31" ht="14.25" x14ac:dyDescent="0.2">
      <c r="A32" s="12"/>
      <c r="B32" s="12"/>
      <c r="C32" s="12"/>
      <c r="D32" s="12"/>
      <c r="E32" s="12"/>
      <c r="F32" s="12"/>
      <c r="G32" s="12"/>
      <c r="H32" s="12"/>
    </row>
    <row r="33" spans="1:28" ht="14.25" x14ac:dyDescent="0.2">
      <c r="A33" s="94" t="s">
        <v>361</v>
      </c>
      <c r="B33" s="94"/>
      <c r="C33" s="94" t="s">
        <v>362</v>
      </c>
      <c r="D33" s="94" t="s">
        <v>363</v>
      </c>
      <c r="E33" s="94" t="s">
        <v>364</v>
      </c>
      <c r="F33" s="94" t="s">
        <v>365</v>
      </c>
      <c r="G33" s="94"/>
      <c r="H33" s="94"/>
    </row>
    <row r="34" spans="1:28" ht="57" x14ac:dyDescent="0.2">
      <c r="A34" s="19" t="s">
        <v>366</v>
      </c>
      <c r="B34" s="19" t="s">
        <v>367</v>
      </c>
      <c r="C34" s="94"/>
      <c r="D34" s="94"/>
      <c r="E34" s="94"/>
      <c r="F34" s="19" t="s">
        <v>368</v>
      </c>
      <c r="G34" s="19" t="s">
        <v>369</v>
      </c>
      <c r="H34" s="19" t="s">
        <v>370</v>
      </c>
    </row>
    <row r="35" spans="1:28" ht="14.25" x14ac:dyDescent="0.2">
      <c r="A35" s="19">
        <v>1</v>
      </c>
      <c r="B35" s="19">
        <v>2</v>
      </c>
      <c r="C35" s="19">
        <v>3</v>
      </c>
      <c r="D35" s="19">
        <v>4</v>
      </c>
      <c r="E35" s="19">
        <v>5</v>
      </c>
      <c r="F35" s="19">
        <v>6</v>
      </c>
      <c r="G35" s="19">
        <v>7</v>
      </c>
      <c r="H35" s="19">
        <v>8</v>
      </c>
    </row>
    <row r="37" spans="1:28" ht="16.5" x14ac:dyDescent="0.25">
      <c r="A37" s="74" t="str">
        <f>CONCATENATE("Локальная смета: ",IF(Source!G20&lt;&gt;"Новая локальная смета", Source!G20, ""))</f>
        <v xml:space="preserve">Локальная смета: </v>
      </c>
      <c r="B37" s="74"/>
      <c r="C37" s="74"/>
      <c r="D37" s="74"/>
      <c r="E37" s="74"/>
      <c r="F37" s="74"/>
      <c r="G37" s="74"/>
      <c r="H37" s="74"/>
    </row>
    <row r="38" spans="1:28" ht="42.75" x14ac:dyDescent="0.2">
      <c r="A38" s="46">
        <v>1</v>
      </c>
      <c r="B38" s="46" t="str">
        <f>Source!E24</f>
        <v>1</v>
      </c>
      <c r="C38" s="46" t="str">
        <f>Source!G24</f>
        <v>Разборка деревянных заполнений проемов оконных с подоконными досками</v>
      </c>
      <c r="D38" s="46" t="str">
        <f>Source!F24</f>
        <v>46-04-012-01</v>
      </c>
      <c r="E38" s="31" t="str">
        <f>Source!H24</f>
        <v>100 м2</v>
      </c>
      <c r="F38" s="12">
        <f>Source!I24</f>
        <v>1.3179000000000001</v>
      </c>
      <c r="G38" s="22">
        <f>Source!AB24</f>
        <v>1767.24</v>
      </c>
      <c r="H38" s="22">
        <f>Source!O24</f>
        <v>14859.31</v>
      </c>
      <c r="T38">
        <f>Source!O24+Source!X24+Source!Y24</f>
        <v>36647.9</v>
      </c>
      <c r="U38">
        <f>Source!P24</f>
        <v>0</v>
      </c>
      <c r="V38">
        <f>Source!S24</f>
        <v>12824.95</v>
      </c>
      <c r="W38">
        <f>Source!Q24</f>
        <v>2034.36</v>
      </c>
      <c r="X38">
        <f>Source!R24</f>
        <v>878.57</v>
      </c>
      <c r="Y38">
        <f>Source!U24</f>
        <v>248.476866</v>
      </c>
      <c r="Z38">
        <f>Source!V24</f>
        <v>10.200546000000001</v>
      </c>
      <c r="AA38">
        <f>Source!X24</f>
        <v>13566.48</v>
      </c>
      <c r="AB38">
        <f>Source!Y24</f>
        <v>8222.11</v>
      </c>
    </row>
    <row r="39" spans="1:28" ht="14.25" x14ac:dyDescent="0.2">
      <c r="C39" s="23" t="str">
        <f>"Объем: "&amp;Source!I24&amp;"=131,79/"&amp;"100"</f>
        <v>Объем: 1,3179=131,79/100</v>
      </c>
      <c r="F39" s="12"/>
      <c r="G39" s="12"/>
      <c r="H39" s="12"/>
    </row>
    <row r="40" spans="1:28" x14ac:dyDescent="0.2">
      <c r="C40" s="23" t="s">
        <v>371</v>
      </c>
      <c r="D40" s="23">
        <f>Source!BA24</f>
        <v>6.38</v>
      </c>
    </row>
    <row r="41" spans="1:28" x14ac:dyDescent="0.2">
      <c r="C41" s="23" t="s">
        <v>372</v>
      </c>
      <c r="D41" s="23">
        <f>Source!BB24</f>
        <v>6.38</v>
      </c>
    </row>
    <row r="42" spans="1:28" x14ac:dyDescent="0.2">
      <c r="C42" s="23" t="s">
        <v>373</v>
      </c>
      <c r="D42" s="23">
        <f>Source!BC24</f>
        <v>6.38</v>
      </c>
    </row>
    <row r="43" spans="1:28" x14ac:dyDescent="0.2">
      <c r="C43" s="23" t="s">
        <v>374</v>
      </c>
      <c r="D43" s="23">
        <f>Source!BS24</f>
        <v>6.38</v>
      </c>
    </row>
    <row r="44" spans="1:28" x14ac:dyDescent="0.2">
      <c r="C44" s="9" t="s">
        <v>375</v>
      </c>
      <c r="D44" s="34"/>
      <c r="E44" s="34"/>
      <c r="F44" s="34">
        <f>Source!BZ24</f>
        <v>110</v>
      </c>
      <c r="G44" s="57">
        <f>(Source!AF24+Source!AE24)*Source!FX24/100</f>
        <v>1613.4821999999999</v>
      </c>
      <c r="H44" s="57">
        <f>Source!X24</f>
        <v>13566.48</v>
      </c>
    </row>
    <row r="45" spans="1:28" x14ac:dyDescent="0.2">
      <c r="C45" s="9" t="s">
        <v>376</v>
      </c>
      <c r="D45" s="34"/>
      <c r="E45" s="34"/>
      <c r="F45" s="34"/>
      <c r="G45" s="34" t="str">
        <f>CONCATENATE(Source!DL24,Source!FT24, "=", Source!FX24, "%")</f>
        <v>*0,9=99%</v>
      </c>
      <c r="H45" s="34" t="str">
        <f>CONCATENATE(Source!AT24)</f>
        <v>99</v>
      </c>
    </row>
    <row r="46" spans="1:28" x14ac:dyDescent="0.2">
      <c r="C46" s="9" t="s">
        <v>377</v>
      </c>
      <c r="D46" s="34"/>
      <c r="E46" s="34"/>
      <c r="F46" s="34">
        <f>Source!CA24</f>
        <v>70</v>
      </c>
      <c r="G46" s="57">
        <f>(Source!AF24+Source!AE24)*Source!FY24/100</f>
        <v>969.71910000000003</v>
      </c>
      <c r="H46" s="57">
        <f>Source!Y24</f>
        <v>8222.11</v>
      </c>
    </row>
    <row r="47" spans="1:28" x14ac:dyDescent="0.2">
      <c r="C47" s="9" t="s">
        <v>378</v>
      </c>
      <c r="D47" s="34"/>
      <c r="E47" s="34"/>
      <c r="F47" s="34"/>
      <c r="G47" s="34" t="str">
        <f>CONCATENATE(Source!DM24,Source!FU24, "=", Source!FY24, "%")</f>
        <v>*0,85=59,5%</v>
      </c>
      <c r="H47" s="34" t="str">
        <f>CONCATENATE(Source!AU24)</f>
        <v>60</v>
      </c>
    </row>
    <row r="48" spans="1:28" x14ac:dyDescent="0.2">
      <c r="C48" s="9" t="s">
        <v>379</v>
      </c>
      <c r="D48" s="34"/>
      <c r="E48" s="34"/>
      <c r="F48" s="34"/>
      <c r="G48" s="57">
        <f>((Source!AF24+Source!AE24)*Source!FX24/100)+((Source!AF24+Source!AE24)*Source!FY24/100)+Source!AB24</f>
        <v>4350.4412999999995</v>
      </c>
      <c r="H48" s="57">
        <f>Source!O24+Source!X24+Source!Y24</f>
        <v>36647.9</v>
      </c>
    </row>
    <row r="49" spans="1:28" ht="99.75" x14ac:dyDescent="0.2">
      <c r="A49" s="46">
        <v>2</v>
      </c>
      <c r="B49" s="46" t="str">
        <f>Source!E25</f>
        <v>2</v>
      </c>
      <c r="C49" s="46" t="str">
        <f>Source!G25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49" s="46" t="str">
        <f>Source!F25</f>
        <v>10-01-034-08</v>
      </c>
      <c r="E49" s="31" t="str">
        <f>Source!H25</f>
        <v>100 м2</v>
      </c>
      <c r="F49" s="12">
        <f>Source!I25</f>
        <v>1.3179000000000001</v>
      </c>
      <c r="G49" s="22">
        <f>Source!AB25</f>
        <v>10367.24</v>
      </c>
      <c r="H49" s="22">
        <f>Source!O25</f>
        <v>87169.85</v>
      </c>
      <c r="T49">
        <f>Source!O25+Source!X25+Source!Y25</f>
        <v>108185.11</v>
      </c>
      <c r="U49">
        <f>Source!P25</f>
        <v>71881.89</v>
      </c>
      <c r="V49">
        <f>Source!S25</f>
        <v>12605.66</v>
      </c>
      <c r="W49">
        <f>Source!Q25</f>
        <v>2682.3</v>
      </c>
      <c r="X49">
        <f>Source!R25</f>
        <v>528.88</v>
      </c>
      <c r="Y49">
        <f>Source!U25</f>
        <v>226.0646586</v>
      </c>
      <c r="Z49">
        <f>Source!V25</f>
        <v>6.9683962500000014</v>
      </c>
      <c r="AA49">
        <f>Source!X25</f>
        <v>13922.61</v>
      </c>
      <c r="AB49">
        <f>Source!Y25</f>
        <v>7092.65</v>
      </c>
    </row>
    <row r="50" spans="1:28" ht="14.25" x14ac:dyDescent="0.2">
      <c r="C50" s="23" t="str">
        <f>"Объем: "&amp;Source!I25&amp;"=131,79/"&amp;"100"</f>
        <v>Объем: 1,3179=131,79/100</v>
      </c>
      <c r="F50" s="12"/>
      <c r="G50" s="12"/>
      <c r="H50" s="12"/>
    </row>
    <row r="51" spans="1:28" x14ac:dyDescent="0.2">
      <c r="C51" s="23" t="s">
        <v>371</v>
      </c>
      <c r="D51" s="23">
        <f>Source!BA25</f>
        <v>6.38</v>
      </c>
    </row>
    <row r="52" spans="1:28" x14ac:dyDescent="0.2">
      <c r="C52" s="23" t="s">
        <v>372</v>
      </c>
      <c r="D52" s="23">
        <f>Source!BB25</f>
        <v>6.38</v>
      </c>
    </row>
    <row r="53" spans="1:28" x14ac:dyDescent="0.2">
      <c r="C53" s="23" t="s">
        <v>373</v>
      </c>
      <c r="D53" s="23">
        <f>Source!BC25</f>
        <v>6.38</v>
      </c>
    </row>
    <row r="54" spans="1:28" x14ac:dyDescent="0.2">
      <c r="C54" s="23" t="s">
        <v>374</v>
      </c>
      <c r="D54" s="23">
        <f>Source!BS25</f>
        <v>6.38</v>
      </c>
    </row>
    <row r="55" spans="1:28" x14ac:dyDescent="0.2">
      <c r="C55" s="23" t="s">
        <v>380</v>
      </c>
      <c r="D55" s="92" t="s">
        <v>27</v>
      </c>
      <c r="E55" s="92"/>
      <c r="F55" s="92"/>
      <c r="G55" s="92"/>
      <c r="H55" s="92"/>
    </row>
    <row r="56" spans="1:28" x14ac:dyDescent="0.2">
      <c r="C56" s="23" t="s">
        <v>381</v>
      </c>
      <c r="D56" s="92" t="s">
        <v>27</v>
      </c>
      <c r="E56" s="92"/>
      <c r="F56" s="92"/>
      <c r="G56" s="92"/>
      <c r="H56" s="92"/>
    </row>
    <row r="57" spans="1:28" x14ac:dyDescent="0.2">
      <c r="C57" s="23" t="s">
        <v>382</v>
      </c>
      <c r="D57" s="92" t="s">
        <v>28</v>
      </c>
      <c r="E57" s="92"/>
      <c r="F57" s="92"/>
      <c r="G57" s="92"/>
      <c r="H57" s="92"/>
    </row>
    <row r="58" spans="1:28" x14ac:dyDescent="0.2">
      <c r="C58" s="23" t="s">
        <v>383</v>
      </c>
      <c r="D58" s="92" t="s">
        <v>28</v>
      </c>
      <c r="E58" s="92"/>
      <c r="F58" s="92"/>
      <c r="G58" s="92"/>
      <c r="H58" s="92"/>
    </row>
    <row r="59" spans="1:28" x14ac:dyDescent="0.2">
      <c r="C59" s="23" t="s">
        <v>384</v>
      </c>
      <c r="D59" s="92" t="s">
        <v>27</v>
      </c>
      <c r="E59" s="92"/>
      <c r="F59" s="92"/>
      <c r="G59" s="92"/>
      <c r="H59" s="92"/>
    </row>
    <row r="60" spans="1:28" x14ac:dyDescent="0.2">
      <c r="C60" s="9" t="s">
        <v>375</v>
      </c>
      <c r="D60" s="34"/>
      <c r="E60" s="34"/>
      <c r="F60" s="34">
        <f>Source!BZ25</f>
        <v>118</v>
      </c>
      <c r="G60" s="57">
        <f>(Source!AF25+Source!AE25)*Source!FX25/100</f>
        <v>1658.9608200000002</v>
      </c>
      <c r="H60" s="57">
        <f>Source!X25</f>
        <v>13922.61</v>
      </c>
    </row>
    <row r="61" spans="1:28" x14ac:dyDescent="0.2">
      <c r="C61" s="9" t="s">
        <v>376</v>
      </c>
      <c r="D61" s="34"/>
      <c r="E61" s="34"/>
      <c r="F61" s="34"/>
      <c r="G61" s="34" t="str">
        <f>CONCATENATE(Source!DL25,Source!FT25, "=", Source!FX25, "%")</f>
        <v>*0,9=106,2%</v>
      </c>
      <c r="H61" s="34" t="str">
        <f>CONCATENATE(Source!AT25)</f>
        <v>106</v>
      </c>
    </row>
    <row r="62" spans="1:28" x14ac:dyDescent="0.2">
      <c r="C62" s="9" t="s">
        <v>377</v>
      </c>
      <c r="D62" s="34"/>
      <c r="E62" s="34"/>
      <c r="F62" s="34">
        <f>Source!CA25</f>
        <v>63</v>
      </c>
      <c r="G62" s="57">
        <f>(Source!AF25+Source!AE25)*Source!FY25/100</f>
        <v>836.509905</v>
      </c>
      <c r="H62" s="57">
        <f>Source!Y25</f>
        <v>7092.65</v>
      </c>
    </row>
    <row r="63" spans="1:28" x14ac:dyDescent="0.2">
      <c r="C63" s="9" t="s">
        <v>378</v>
      </c>
      <c r="D63" s="34"/>
      <c r="E63" s="34"/>
      <c r="F63" s="34"/>
      <c r="G63" s="34" t="str">
        <f>CONCATENATE(Source!DM25,Source!FU25, "=", Source!FY25, "%")</f>
        <v>*0,85=53,55%</v>
      </c>
      <c r="H63" s="34" t="str">
        <f>CONCATENATE(Source!AU25)</f>
        <v>54</v>
      </c>
    </row>
    <row r="64" spans="1:28" x14ac:dyDescent="0.2">
      <c r="C64" s="9" t="s">
        <v>379</v>
      </c>
      <c r="D64" s="34"/>
      <c r="E64" s="34"/>
      <c r="F64" s="34"/>
      <c r="G64" s="57">
        <f>((Source!AF25+Source!AE25)*Source!FX25/100)+((Source!AF25+Source!AE25)*Source!FY25/100)+Source!AB25</f>
        <v>12862.710725000001</v>
      </c>
      <c r="H64" s="57">
        <f>Source!O25+Source!X25+Source!Y25</f>
        <v>108185.11</v>
      </c>
    </row>
    <row r="65" spans="1:28" ht="85.5" x14ac:dyDescent="0.2">
      <c r="A65" s="46">
        <v>3</v>
      </c>
      <c r="B65" s="46" t="str">
        <f>Source!E26</f>
        <v>2,1</v>
      </c>
      <c r="C65" s="46" t="s">
        <v>327</v>
      </c>
      <c r="D65" s="46" t="str">
        <f>Source!F26</f>
        <v>Средняя цена коммерческих предложений</v>
      </c>
      <c r="E65" s="31" t="str">
        <f>Source!H26</f>
        <v>м2</v>
      </c>
      <c r="F65" s="12">
        <f>Source!I26</f>
        <v>131.79</v>
      </c>
      <c r="G65" s="22">
        <f>Source!AB26</f>
        <v>519.77</v>
      </c>
      <c r="H65" s="22">
        <f>Source!O26</f>
        <v>437033.12</v>
      </c>
      <c r="T65">
        <f>Source!O26+Source!X26+Source!Y26</f>
        <v>437033.12</v>
      </c>
      <c r="U65">
        <f>Source!P26</f>
        <v>437033.12</v>
      </c>
      <c r="V65">
        <f>Source!S26</f>
        <v>0</v>
      </c>
      <c r="W65">
        <f>Source!Q26</f>
        <v>0</v>
      </c>
      <c r="X65">
        <f>Source!R26</f>
        <v>0</v>
      </c>
      <c r="Y65">
        <f>Source!U26</f>
        <v>0</v>
      </c>
      <c r="Z65">
        <f>Source!V26</f>
        <v>0</v>
      </c>
      <c r="AA65">
        <f>Source!X26</f>
        <v>0</v>
      </c>
      <c r="AB65">
        <f>Source!Y26</f>
        <v>0</v>
      </c>
    </row>
    <row r="66" spans="1:28" ht="14.25" x14ac:dyDescent="0.2">
      <c r="C66" s="23" t="s">
        <v>373</v>
      </c>
      <c r="D66" s="23">
        <f>Source!BC26</f>
        <v>6.38</v>
      </c>
      <c r="F66" s="12"/>
      <c r="G66" s="12"/>
      <c r="H66" s="12"/>
    </row>
    <row r="67" spans="1:28" ht="42.75" x14ac:dyDescent="0.2">
      <c r="A67" s="46">
        <v>4</v>
      </c>
      <c r="B67" s="46" t="str">
        <f>Source!E27</f>
        <v>3</v>
      </c>
      <c r="C67" s="46" t="str">
        <f>Source!G27</f>
        <v>Устройство мелких покрытий (брандмауэры, парапеты, свесы и т.п.) из листовой оцинкованной стали</v>
      </c>
      <c r="D67" s="46" t="str">
        <f>Source!F27</f>
        <v>12-01-010-01</v>
      </c>
      <c r="E67" s="31" t="str">
        <f>Source!H27</f>
        <v>100 м2</v>
      </c>
      <c r="F67" s="12">
        <f>Source!I27</f>
        <v>0.1196</v>
      </c>
      <c r="G67" s="22">
        <f>Source!AB27</f>
        <v>10023.950000000001</v>
      </c>
      <c r="H67" s="22">
        <f>Source!O27</f>
        <v>7648.76</v>
      </c>
      <c r="T67">
        <f>Source!O27+Source!X27+Source!Y27</f>
        <v>9029.86</v>
      </c>
      <c r="U67">
        <f>Source!P27</f>
        <v>6783.94</v>
      </c>
      <c r="V67">
        <f>Source!S27</f>
        <v>843.95</v>
      </c>
      <c r="W67">
        <f>Source!Q27</f>
        <v>20.87</v>
      </c>
      <c r="X67">
        <f>Source!R27</f>
        <v>3.35</v>
      </c>
      <c r="Y67">
        <f>Source!U27</f>
        <v>15.507634999999999</v>
      </c>
      <c r="Z67">
        <f>Source!V27</f>
        <v>4.0365000000000005E-2</v>
      </c>
      <c r="AA67">
        <f>Source!X27</f>
        <v>915.08</v>
      </c>
      <c r="AB67">
        <f>Source!Y27</f>
        <v>466.02</v>
      </c>
    </row>
    <row r="68" spans="1:28" ht="14.25" x14ac:dyDescent="0.2">
      <c r="C68" s="23" t="str">
        <f>"Объем: "&amp;Source!I27&amp;"=11,96/"&amp;"100"</f>
        <v>Объем: 0,1196=11,96/100</v>
      </c>
      <c r="F68" s="12"/>
      <c r="G68" s="12"/>
      <c r="H68" s="12"/>
    </row>
    <row r="69" spans="1:28" x14ac:dyDescent="0.2">
      <c r="C69" s="23" t="s">
        <v>371</v>
      </c>
      <c r="D69" s="23">
        <f>Source!BA27</f>
        <v>6.38</v>
      </c>
    </row>
    <row r="70" spans="1:28" x14ac:dyDescent="0.2">
      <c r="C70" s="23" t="s">
        <v>372</v>
      </c>
      <c r="D70" s="23">
        <f>Source!BB27</f>
        <v>6.38</v>
      </c>
    </row>
    <row r="71" spans="1:28" x14ac:dyDescent="0.2">
      <c r="C71" s="23" t="s">
        <v>373</v>
      </c>
      <c r="D71" s="23">
        <f>Source!BC27</f>
        <v>6.38</v>
      </c>
    </row>
    <row r="72" spans="1:28" x14ac:dyDescent="0.2">
      <c r="C72" s="23" t="s">
        <v>374</v>
      </c>
      <c r="D72" s="23">
        <f>Source!BS27</f>
        <v>6.38</v>
      </c>
    </row>
    <row r="73" spans="1:28" x14ac:dyDescent="0.2">
      <c r="C73" s="23" t="s">
        <v>380</v>
      </c>
      <c r="D73" s="92" t="s">
        <v>27</v>
      </c>
      <c r="E73" s="92"/>
      <c r="F73" s="92"/>
      <c r="G73" s="92"/>
      <c r="H73" s="92"/>
    </row>
    <row r="74" spans="1:28" x14ac:dyDescent="0.2">
      <c r="C74" s="23" t="s">
        <v>381</v>
      </c>
      <c r="D74" s="92" t="s">
        <v>27</v>
      </c>
      <c r="E74" s="92"/>
      <c r="F74" s="92"/>
      <c r="G74" s="92"/>
      <c r="H74" s="92"/>
    </row>
    <row r="75" spans="1:28" x14ac:dyDescent="0.2">
      <c r="C75" s="23" t="s">
        <v>382</v>
      </c>
      <c r="D75" s="92" t="s">
        <v>28</v>
      </c>
      <c r="E75" s="92"/>
      <c r="F75" s="92"/>
      <c r="G75" s="92"/>
      <c r="H75" s="92"/>
    </row>
    <row r="76" spans="1:28" x14ac:dyDescent="0.2">
      <c r="C76" s="23" t="s">
        <v>383</v>
      </c>
      <c r="D76" s="92" t="s">
        <v>28</v>
      </c>
      <c r="E76" s="92"/>
      <c r="F76" s="92"/>
      <c r="G76" s="92"/>
      <c r="H76" s="92"/>
    </row>
    <row r="77" spans="1:28" x14ac:dyDescent="0.2">
      <c r="C77" s="23" t="s">
        <v>384</v>
      </c>
      <c r="D77" s="92" t="s">
        <v>27</v>
      </c>
      <c r="E77" s="92"/>
      <c r="F77" s="92"/>
      <c r="G77" s="92"/>
      <c r="H77" s="92"/>
    </row>
    <row r="78" spans="1:28" x14ac:dyDescent="0.2">
      <c r="C78" s="9" t="s">
        <v>375</v>
      </c>
      <c r="D78" s="34"/>
      <c r="E78" s="34"/>
      <c r="F78" s="34">
        <f>Source!BZ27</f>
        <v>120</v>
      </c>
      <c r="G78" s="57">
        <f>(Source!AF27+Source!AE27)*Source!FX27/100</f>
        <v>1199.2428000000002</v>
      </c>
      <c r="H78" s="57">
        <f>Source!X27</f>
        <v>915.08</v>
      </c>
    </row>
    <row r="79" spans="1:28" x14ac:dyDescent="0.2">
      <c r="C79" s="9" t="s">
        <v>376</v>
      </c>
      <c r="D79" s="34"/>
      <c r="E79" s="34"/>
      <c r="F79" s="34"/>
      <c r="G79" s="34" t="str">
        <f>CONCATENATE(Source!DL27,Source!FT27, "=", Source!FX27, "%")</f>
        <v>*0,9=108%</v>
      </c>
      <c r="H79" s="34" t="str">
        <f>CONCATENATE(Source!AT27)</f>
        <v>108</v>
      </c>
    </row>
    <row r="80" spans="1:28" x14ac:dyDescent="0.2">
      <c r="C80" s="9" t="s">
        <v>377</v>
      </c>
      <c r="D80" s="34"/>
      <c r="E80" s="34"/>
      <c r="F80" s="34">
        <f>Source!CA27</f>
        <v>65</v>
      </c>
      <c r="G80" s="57">
        <f>(Source!AF27+Source!AE27)*Source!FY27/100</f>
        <v>613.50152500000002</v>
      </c>
      <c r="H80" s="57">
        <f>Source!Y27</f>
        <v>466.02</v>
      </c>
    </row>
    <row r="81" spans="1:28" x14ac:dyDescent="0.2">
      <c r="C81" s="9" t="s">
        <v>378</v>
      </c>
      <c r="D81" s="34"/>
      <c r="E81" s="34"/>
      <c r="F81" s="34"/>
      <c r="G81" s="34" t="str">
        <f>CONCATENATE(Source!DM27,Source!FU27, "=", Source!FY27, "%")</f>
        <v>*0,85=55,25%</v>
      </c>
      <c r="H81" s="34" t="str">
        <f>CONCATENATE(Source!AU27)</f>
        <v>55</v>
      </c>
    </row>
    <row r="82" spans="1:28" x14ac:dyDescent="0.2">
      <c r="C82" s="9" t="s">
        <v>379</v>
      </c>
      <c r="D82" s="34"/>
      <c r="E82" s="34"/>
      <c r="F82" s="34"/>
      <c r="G82" s="57">
        <f>((Source!AF27+Source!AE27)*Source!FX27/100)+((Source!AF27+Source!AE27)*Source!FY27/100)+Source!AB27</f>
        <v>11836.694325</v>
      </c>
      <c r="H82" s="57">
        <f>Source!O27+Source!X27+Source!Y27</f>
        <v>9029.86</v>
      </c>
    </row>
    <row r="83" spans="1:28" ht="85.5" x14ac:dyDescent="0.2">
      <c r="A83" s="46">
        <v>5</v>
      </c>
      <c r="B83" s="46" t="str">
        <f>Source!E28</f>
        <v>3,1</v>
      </c>
      <c r="C83" s="46" t="s">
        <v>328</v>
      </c>
      <c r="D83" s="46" t="str">
        <f>Source!F28</f>
        <v>Средняя цена коммерческих предложений</v>
      </c>
      <c r="E83" s="31" t="str">
        <f>Source!H28</f>
        <v>м</v>
      </c>
      <c r="F83" s="12">
        <f>Source!I28</f>
        <v>59.8</v>
      </c>
      <c r="G83" s="22">
        <f>Source!AB28</f>
        <v>19.84</v>
      </c>
      <c r="H83" s="22">
        <f>Source!O28</f>
        <v>7569.44</v>
      </c>
      <c r="T83">
        <f>Source!O28+Source!X28+Source!Y28</f>
        <v>7569.44</v>
      </c>
      <c r="U83">
        <f>Source!P28</f>
        <v>7569.44</v>
      </c>
      <c r="V83">
        <f>Source!S28</f>
        <v>0</v>
      </c>
      <c r="W83">
        <f>Source!Q28</f>
        <v>0</v>
      </c>
      <c r="X83">
        <f>Source!R28</f>
        <v>0</v>
      </c>
      <c r="Y83">
        <f>Source!U28</f>
        <v>0</v>
      </c>
      <c r="Z83">
        <f>Source!V28</f>
        <v>0</v>
      </c>
      <c r="AA83">
        <f>Source!X28</f>
        <v>0</v>
      </c>
      <c r="AB83">
        <f>Source!Y28</f>
        <v>0</v>
      </c>
    </row>
    <row r="84" spans="1:28" ht="14.25" x14ac:dyDescent="0.2">
      <c r="C84" s="23" t="s">
        <v>373</v>
      </c>
      <c r="D84" s="23">
        <f>Source!BC28</f>
        <v>6.38</v>
      </c>
      <c r="F84" s="12"/>
      <c r="G84" s="12"/>
      <c r="H84" s="12"/>
    </row>
    <row r="85" spans="1:28" ht="42.75" x14ac:dyDescent="0.2">
      <c r="A85" s="46">
        <v>6</v>
      </c>
      <c r="B85" s="46" t="str">
        <f>Source!E29</f>
        <v>3,2</v>
      </c>
      <c r="C85" s="46" t="s">
        <v>385</v>
      </c>
      <c r="D85" s="46" t="str">
        <f>Source!F29</f>
        <v>08.3.05.05-0053</v>
      </c>
      <c r="E85" s="31" t="str">
        <f>Source!H29</f>
        <v>т</v>
      </c>
      <c r="F85" s="12">
        <f>Source!I29</f>
        <v>-9.3526999999999999E-2</v>
      </c>
      <c r="G85" s="22">
        <f>Source!AB29</f>
        <v>11200</v>
      </c>
      <c r="H85" s="22">
        <f>Source!O29</f>
        <v>-6683.07</v>
      </c>
      <c r="T85">
        <f>Source!O29+Source!X29+Source!Y29</f>
        <v>-6683.07</v>
      </c>
      <c r="U85">
        <f>Source!P29</f>
        <v>-6683.07</v>
      </c>
      <c r="V85">
        <f>Source!S29</f>
        <v>0</v>
      </c>
      <c r="W85">
        <f>Source!Q29</f>
        <v>0</v>
      </c>
      <c r="X85">
        <f>Source!R29</f>
        <v>0</v>
      </c>
      <c r="Y85">
        <f>Source!U29</f>
        <v>0</v>
      </c>
      <c r="Z85">
        <f>Source!V29</f>
        <v>0</v>
      </c>
      <c r="AA85">
        <f>Source!X29</f>
        <v>0</v>
      </c>
      <c r="AB85">
        <f>Source!Y29</f>
        <v>0</v>
      </c>
    </row>
    <row r="86" spans="1:28" ht="14.25" x14ac:dyDescent="0.2">
      <c r="C86" s="23" t="s">
        <v>373</v>
      </c>
      <c r="D86" s="23">
        <f>Source!BC29</f>
        <v>6.38</v>
      </c>
      <c r="F86" s="12"/>
      <c r="G86" s="12"/>
      <c r="H86" s="12"/>
    </row>
    <row r="87" spans="1:28" ht="57" x14ac:dyDescent="0.2">
      <c r="A87" s="46">
        <v>7</v>
      </c>
      <c r="B87" s="46" t="str">
        <f>Source!E30</f>
        <v>4</v>
      </c>
      <c r="C87" s="46" t="str">
        <f>Source!G30</f>
        <v>Облицовка оконных и дверных откосов декоративным бумажно-слоистым пластиком или листами из синтетических материалов</v>
      </c>
      <c r="D87" s="46" t="str">
        <f>Source!F30</f>
        <v>15-01-050-04</v>
      </c>
      <c r="E87" s="31" t="str">
        <f>Source!H30</f>
        <v>100 м2</v>
      </c>
      <c r="F87" s="12">
        <f>Source!I30</f>
        <v>0.6532</v>
      </c>
      <c r="G87" s="22">
        <f>Source!AB30</f>
        <v>1801.98</v>
      </c>
      <c r="H87" s="22">
        <f>Source!O30</f>
        <v>7509.6</v>
      </c>
      <c r="T87">
        <f>Source!O30+Source!X30+Source!Y30</f>
        <v>17960.43</v>
      </c>
      <c r="U87">
        <f>Source!P30</f>
        <v>1.5</v>
      </c>
      <c r="V87">
        <f>Source!S30</f>
        <v>7323.9</v>
      </c>
      <c r="W87">
        <f>Source!Q30</f>
        <v>184.2</v>
      </c>
      <c r="X87">
        <f>Source!R30</f>
        <v>35.840000000000003</v>
      </c>
      <c r="Y87">
        <f>Source!U30</f>
        <v>125.0489346</v>
      </c>
      <c r="Z87">
        <f>Source!V30</f>
        <v>0.47356999999999999</v>
      </c>
      <c r="AA87">
        <f>Source!X30</f>
        <v>6991.75</v>
      </c>
      <c r="AB87">
        <f>Source!Y30</f>
        <v>3459.08</v>
      </c>
    </row>
    <row r="88" spans="1:28" ht="14.25" x14ac:dyDescent="0.2">
      <c r="C88" s="23" t="str">
        <f>"Объем: "&amp;Source!I30&amp;"=65,32/"&amp;"100"</f>
        <v>Объем: 0,6532=65,32/100</v>
      </c>
      <c r="F88" s="12"/>
      <c r="G88" s="12"/>
      <c r="H88" s="12"/>
    </row>
    <row r="89" spans="1:28" x14ac:dyDescent="0.2">
      <c r="C89" s="23" t="s">
        <v>371</v>
      </c>
      <c r="D89" s="23">
        <f>Source!BA30</f>
        <v>6.38</v>
      </c>
    </row>
    <row r="90" spans="1:28" x14ac:dyDescent="0.2">
      <c r="C90" s="23" t="s">
        <v>372</v>
      </c>
      <c r="D90" s="23">
        <f>Source!BB30</f>
        <v>6.38</v>
      </c>
    </row>
    <row r="91" spans="1:28" x14ac:dyDescent="0.2">
      <c r="C91" s="23" t="s">
        <v>373</v>
      </c>
      <c r="D91" s="23">
        <f>Source!BC30</f>
        <v>6.38</v>
      </c>
    </row>
    <row r="92" spans="1:28" x14ac:dyDescent="0.2">
      <c r="C92" s="23" t="s">
        <v>374</v>
      </c>
      <c r="D92" s="23">
        <f>Source!BS30</f>
        <v>6.38</v>
      </c>
    </row>
    <row r="93" spans="1:28" x14ac:dyDescent="0.2">
      <c r="C93" s="23" t="s">
        <v>380</v>
      </c>
      <c r="D93" s="92" t="s">
        <v>27</v>
      </c>
      <c r="E93" s="92"/>
      <c r="F93" s="92"/>
      <c r="G93" s="92"/>
      <c r="H93" s="92"/>
    </row>
    <row r="94" spans="1:28" x14ac:dyDescent="0.2">
      <c r="C94" s="23" t="s">
        <v>381</v>
      </c>
      <c r="D94" s="92" t="s">
        <v>27</v>
      </c>
      <c r="E94" s="92"/>
      <c r="F94" s="92"/>
      <c r="G94" s="92"/>
      <c r="H94" s="92"/>
    </row>
    <row r="95" spans="1:28" x14ac:dyDescent="0.2">
      <c r="C95" s="23" t="s">
        <v>382</v>
      </c>
      <c r="D95" s="92" t="s">
        <v>28</v>
      </c>
      <c r="E95" s="92"/>
      <c r="F95" s="92"/>
      <c r="G95" s="92"/>
      <c r="H95" s="92"/>
    </row>
    <row r="96" spans="1:28" x14ac:dyDescent="0.2">
      <c r="C96" s="23" t="s">
        <v>383</v>
      </c>
      <c r="D96" s="92" t="s">
        <v>28</v>
      </c>
      <c r="E96" s="92"/>
      <c r="F96" s="92"/>
      <c r="G96" s="92"/>
      <c r="H96" s="92"/>
    </row>
    <row r="97" spans="1:28" x14ac:dyDescent="0.2">
      <c r="C97" s="23" t="s">
        <v>384</v>
      </c>
      <c r="D97" s="92" t="s">
        <v>27</v>
      </c>
      <c r="E97" s="92"/>
      <c r="F97" s="92"/>
      <c r="G97" s="92"/>
      <c r="H97" s="92"/>
    </row>
    <row r="98" spans="1:28" x14ac:dyDescent="0.2">
      <c r="C98" s="9" t="s">
        <v>375</v>
      </c>
      <c r="D98" s="34"/>
      <c r="E98" s="34"/>
      <c r="F98" s="34">
        <f>Source!BZ30</f>
        <v>105</v>
      </c>
      <c r="G98" s="57">
        <f>(Source!AF30+Source!AE30)*Source!FX30/100</f>
        <v>1668.8888999999999</v>
      </c>
      <c r="H98" s="57">
        <f>Source!X30</f>
        <v>6991.75</v>
      </c>
    </row>
    <row r="99" spans="1:28" x14ac:dyDescent="0.2">
      <c r="C99" s="9" t="s">
        <v>376</v>
      </c>
      <c r="D99" s="34"/>
      <c r="E99" s="34"/>
      <c r="F99" s="34"/>
      <c r="G99" s="34" t="str">
        <f>CONCATENATE(Source!DL30,Source!FT30, "=", Source!FX30, "%")</f>
        <v>*0,9=94,5%</v>
      </c>
      <c r="H99" s="34" t="str">
        <f>CONCATENATE(Source!AT30)</f>
        <v>95</v>
      </c>
    </row>
    <row r="100" spans="1:28" x14ac:dyDescent="0.2">
      <c r="C100" s="9" t="s">
        <v>377</v>
      </c>
      <c r="D100" s="34"/>
      <c r="E100" s="34"/>
      <c r="F100" s="34">
        <f>Source!CA30</f>
        <v>55</v>
      </c>
      <c r="G100" s="57">
        <f>(Source!AF30+Source!AE30)*Source!FY30/100</f>
        <v>825.61434999999994</v>
      </c>
      <c r="H100" s="57">
        <f>Source!Y30</f>
        <v>3459.08</v>
      </c>
    </row>
    <row r="101" spans="1:28" x14ac:dyDescent="0.2">
      <c r="C101" s="9" t="s">
        <v>378</v>
      </c>
      <c r="D101" s="34"/>
      <c r="E101" s="34"/>
      <c r="F101" s="34"/>
      <c r="G101" s="34" t="str">
        <f>CONCATENATE(Source!DM30,Source!FU30, "=", Source!FY30, "%")</f>
        <v>*0,85=46,75%</v>
      </c>
      <c r="H101" s="34" t="str">
        <f>CONCATENATE(Source!AU30)</f>
        <v>47</v>
      </c>
    </row>
    <row r="102" spans="1:28" x14ac:dyDescent="0.2">
      <c r="C102" s="9" t="s">
        <v>379</v>
      </c>
      <c r="D102" s="34"/>
      <c r="E102" s="34"/>
      <c r="F102" s="34"/>
      <c r="G102" s="57">
        <f>((Source!AF30+Source!AE30)*Source!FX30/100)+((Source!AF30+Source!AE30)*Source!FY30/100)+Source!AB30</f>
        <v>4296.4832499999993</v>
      </c>
      <c r="H102" s="57">
        <f>Source!O30+Source!X30+Source!Y30</f>
        <v>17960.43</v>
      </c>
    </row>
    <row r="103" spans="1:28" ht="85.5" x14ac:dyDescent="0.2">
      <c r="A103" s="46">
        <v>8</v>
      </c>
      <c r="B103" s="46" t="str">
        <f>Source!E31</f>
        <v>4,1</v>
      </c>
      <c r="C103" s="46" t="s">
        <v>329</v>
      </c>
      <c r="D103" s="46" t="str">
        <f>Source!F31</f>
        <v>Средняя цена коммерческих предложений</v>
      </c>
      <c r="E103" s="31" t="str">
        <f>Source!H31</f>
        <v>м</v>
      </c>
      <c r="F103" s="12">
        <f>Source!I31</f>
        <v>163.30000000000001</v>
      </c>
      <c r="G103" s="22">
        <f>Source!AB31</f>
        <v>79.430000000000007</v>
      </c>
      <c r="H103" s="22">
        <f>Source!O31</f>
        <v>82754.460000000006</v>
      </c>
      <c r="T103">
        <f>Source!O31+Source!X31+Source!Y31</f>
        <v>82754.460000000006</v>
      </c>
      <c r="U103">
        <f>Source!P31</f>
        <v>82754.460000000006</v>
      </c>
      <c r="V103">
        <f>Source!S31</f>
        <v>0</v>
      </c>
      <c r="W103">
        <f>Source!Q31</f>
        <v>0</v>
      </c>
      <c r="X103">
        <f>Source!R31</f>
        <v>0</v>
      </c>
      <c r="Y103">
        <f>Source!U31</f>
        <v>0</v>
      </c>
      <c r="Z103">
        <f>Source!V31</f>
        <v>0</v>
      </c>
      <c r="AA103">
        <f>Source!X31</f>
        <v>0</v>
      </c>
      <c r="AB103">
        <f>Source!Y31</f>
        <v>0</v>
      </c>
    </row>
    <row r="104" spans="1:28" ht="14.25" x14ac:dyDescent="0.2">
      <c r="C104" s="23" t="s">
        <v>373</v>
      </c>
      <c r="D104" s="23">
        <f>Source!BC31</f>
        <v>6.38</v>
      </c>
      <c r="F104" s="12"/>
      <c r="G104" s="12"/>
      <c r="H104" s="12"/>
    </row>
    <row r="105" spans="1:28" ht="28.5" x14ac:dyDescent="0.2">
      <c r="A105" s="46">
        <v>9</v>
      </c>
      <c r="B105" s="46" t="str">
        <f>Source!E32</f>
        <v>4,2</v>
      </c>
      <c r="C105" s="46" t="str">
        <f>Source!G32</f>
        <v>Клей огнестойкий, марка "Conlit Glue" ROCKWOOL</v>
      </c>
      <c r="D105" s="46" t="str">
        <f>Source!F32</f>
        <v>14.2.02.01-0001</v>
      </c>
      <c r="E105" s="31" t="str">
        <f>Source!H32</f>
        <v>кг</v>
      </c>
      <c r="F105" s="12">
        <f>Source!I32</f>
        <v>19.596</v>
      </c>
      <c r="G105" s="22">
        <f>Source!AB32</f>
        <v>19.72</v>
      </c>
      <c r="H105" s="22">
        <f>Source!O32</f>
        <v>2465.44</v>
      </c>
      <c r="T105">
        <f>Source!O32+Source!X32+Source!Y32</f>
        <v>2465.44</v>
      </c>
      <c r="U105">
        <f>Source!P32</f>
        <v>2465.44</v>
      </c>
      <c r="V105">
        <f>Source!S32</f>
        <v>0</v>
      </c>
      <c r="W105">
        <f>Source!Q32</f>
        <v>0</v>
      </c>
      <c r="X105">
        <f>Source!R32</f>
        <v>0</v>
      </c>
      <c r="Y105">
        <f>Source!U32</f>
        <v>0</v>
      </c>
      <c r="Z105">
        <f>Source!V32</f>
        <v>0</v>
      </c>
      <c r="AA105">
        <f>Source!X32</f>
        <v>0</v>
      </c>
      <c r="AB105">
        <f>Source!Y32</f>
        <v>0</v>
      </c>
    </row>
    <row r="106" spans="1:28" ht="14.25" x14ac:dyDescent="0.2">
      <c r="C106" s="23" t="s">
        <v>373</v>
      </c>
      <c r="D106" s="23">
        <f>Source!BC32</f>
        <v>6.38</v>
      </c>
      <c r="F106" s="12"/>
      <c r="G106" s="12"/>
      <c r="H106" s="12"/>
    </row>
    <row r="107" spans="1:28" ht="28.5" x14ac:dyDescent="0.2">
      <c r="A107" s="46">
        <v>10</v>
      </c>
      <c r="B107" s="46" t="str">
        <f>Source!E33</f>
        <v>4,3</v>
      </c>
      <c r="C107" s="46" t="str">
        <f>Source!G33</f>
        <v>Грунтовка: по бетону, марка "WG-Welestrong Sealer"</v>
      </c>
      <c r="D107" s="46" t="str">
        <f>Source!F33</f>
        <v>14.3.01.01-0105</v>
      </c>
      <c r="E107" s="31" t="str">
        <f>Source!H33</f>
        <v>кг</v>
      </c>
      <c r="F107" s="12">
        <f>Source!I33</f>
        <v>5.8134800000000002</v>
      </c>
      <c r="G107" s="22">
        <f>Source!AB33</f>
        <v>210.9</v>
      </c>
      <c r="H107" s="22">
        <f>Source!O33</f>
        <v>7822.28</v>
      </c>
      <c r="T107">
        <f>Source!O33+Source!X33+Source!Y33</f>
        <v>7822.28</v>
      </c>
      <c r="U107">
        <f>Source!P33</f>
        <v>7822.28</v>
      </c>
      <c r="V107">
        <f>Source!S33</f>
        <v>0</v>
      </c>
      <c r="W107">
        <f>Source!Q33</f>
        <v>0</v>
      </c>
      <c r="X107">
        <f>Source!R33</f>
        <v>0</v>
      </c>
      <c r="Y107">
        <f>Source!U33</f>
        <v>0</v>
      </c>
      <c r="Z107">
        <f>Source!V33</f>
        <v>0</v>
      </c>
      <c r="AA107">
        <f>Source!X33</f>
        <v>0</v>
      </c>
      <c r="AB107">
        <f>Source!Y33</f>
        <v>0</v>
      </c>
    </row>
    <row r="108" spans="1:28" ht="14.25" x14ac:dyDescent="0.2">
      <c r="C108" s="23" t="s">
        <v>373</v>
      </c>
      <c r="D108" s="23">
        <f>Source!BC33</f>
        <v>6.38</v>
      </c>
      <c r="F108" s="12"/>
      <c r="G108" s="12"/>
      <c r="H108" s="12"/>
    </row>
    <row r="109" spans="1:28" ht="14.25" x14ac:dyDescent="0.2">
      <c r="A109" s="46">
        <v>11</v>
      </c>
      <c r="B109" s="46" t="str">
        <f>Source!E34</f>
        <v>4,4</v>
      </c>
      <c r="C109" s="46" t="str">
        <f>Source!G34</f>
        <v>Клей</v>
      </c>
      <c r="D109" s="46" t="str">
        <f>Source!F34</f>
        <v>14.1.06.05</v>
      </c>
      <c r="E109" s="31" t="str">
        <f>Source!H34</f>
        <v>кг</v>
      </c>
      <c r="F109" s="12">
        <f>Source!I34</f>
        <v>19.596</v>
      </c>
      <c r="G109" s="22">
        <f>Source!AB34</f>
        <v>0</v>
      </c>
      <c r="H109" s="22">
        <f>Source!O34</f>
        <v>0</v>
      </c>
      <c r="T109">
        <f>Source!O34+Source!X34+Source!Y34</f>
        <v>0</v>
      </c>
      <c r="U109">
        <f>Source!P34</f>
        <v>0</v>
      </c>
      <c r="V109">
        <f>Source!S34</f>
        <v>0</v>
      </c>
      <c r="W109">
        <f>Source!Q34</f>
        <v>0</v>
      </c>
      <c r="X109">
        <f>Source!R34</f>
        <v>0</v>
      </c>
      <c r="Y109">
        <f>Source!U34</f>
        <v>0</v>
      </c>
      <c r="Z109">
        <f>Source!V34</f>
        <v>0</v>
      </c>
      <c r="AA109">
        <f>Source!X34</f>
        <v>0</v>
      </c>
      <c r="AB109">
        <f>Source!Y34</f>
        <v>0</v>
      </c>
    </row>
    <row r="110" spans="1:28" ht="14.25" x14ac:dyDescent="0.2">
      <c r="C110" s="23" t="s">
        <v>373</v>
      </c>
      <c r="D110" s="23">
        <f>Source!BC34</f>
        <v>6.38</v>
      </c>
      <c r="F110" s="12"/>
      <c r="G110" s="12"/>
      <c r="H110" s="12"/>
    </row>
    <row r="111" spans="1:28" ht="28.5" x14ac:dyDescent="0.2">
      <c r="A111" s="46">
        <v>12</v>
      </c>
      <c r="B111" s="46" t="str">
        <f>Source!E35</f>
        <v>5</v>
      </c>
      <c r="C111" s="46" t="str">
        <f>Source!G35</f>
        <v>Установка уголков ПВХ на клее</v>
      </c>
      <c r="D111" s="46" t="str">
        <f>Source!F35</f>
        <v>10-01-036-01</v>
      </c>
      <c r="E111" s="31" t="str">
        <f>Source!H35</f>
        <v>100 м</v>
      </c>
      <c r="F111" s="12">
        <f>Source!I35</f>
        <v>1.633</v>
      </c>
      <c r="G111" s="22">
        <f>Source!AB35</f>
        <v>101.72</v>
      </c>
      <c r="H111" s="22">
        <f>Source!O35</f>
        <v>1059.78</v>
      </c>
      <c r="T111">
        <f>Source!O35+Source!X35+Source!Y35</f>
        <v>2155.31</v>
      </c>
      <c r="U111">
        <f>Source!P35</f>
        <v>375.07</v>
      </c>
      <c r="V111">
        <f>Source!S35</f>
        <v>684.71</v>
      </c>
      <c r="W111">
        <f>Source!Q35</f>
        <v>0</v>
      </c>
      <c r="X111">
        <f>Source!R35</f>
        <v>0</v>
      </c>
      <c r="Y111">
        <f>Source!U35</f>
        <v>12.582265</v>
      </c>
      <c r="Z111">
        <f>Source!V35</f>
        <v>0</v>
      </c>
      <c r="AA111">
        <f>Source!X35</f>
        <v>725.79</v>
      </c>
      <c r="AB111">
        <f>Source!Y35</f>
        <v>369.74</v>
      </c>
    </row>
    <row r="112" spans="1:28" ht="14.25" x14ac:dyDescent="0.2">
      <c r="C112" s="23" t="str">
        <f>"Объем: "&amp;Source!I35&amp;"=163,3/"&amp;"100"</f>
        <v>Объем: 1,633=163,3/100</v>
      </c>
      <c r="F112" s="12"/>
      <c r="G112" s="12"/>
      <c r="H112" s="12"/>
    </row>
    <row r="113" spans="1:28" x14ac:dyDescent="0.2">
      <c r="C113" s="23" t="s">
        <v>371</v>
      </c>
      <c r="D113" s="23">
        <f>Source!BA35</f>
        <v>6.38</v>
      </c>
    </row>
    <row r="114" spans="1:28" x14ac:dyDescent="0.2">
      <c r="C114" s="23" t="s">
        <v>372</v>
      </c>
      <c r="D114" s="23">
        <f>Source!BB35</f>
        <v>6.38</v>
      </c>
    </row>
    <row r="115" spans="1:28" x14ac:dyDescent="0.2">
      <c r="C115" s="23" t="s">
        <v>373</v>
      </c>
      <c r="D115" s="23">
        <f>Source!BC35</f>
        <v>6.38</v>
      </c>
    </row>
    <row r="116" spans="1:28" x14ac:dyDescent="0.2">
      <c r="C116" s="23" t="s">
        <v>374</v>
      </c>
      <c r="D116" s="23">
        <f>Source!BS35</f>
        <v>6.38</v>
      </c>
    </row>
    <row r="117" spans="1:28" x14ac:dyDescent="0.2">
      <c r="C117" s="23" t="s">
        <v>380</v>
      </c>
      <c r="D117" s="92" t="s">
        <v>27</v>
      </c>
      <c r="E117" s="92"/>
      <c r="F117" s="92"/>
      <c r="G117" s="92"/>
      <c r="H117" s="92"/>
    </row>
    <row r="118" spans="1:28" x14ac:dyDescent="0.2">
      <c r="C118" s="23" t="s">
        <v>381</v>
      </c>
      <c r="D118" s="92" t="s">
        <v>27</v>
      </c>
      <c r="E118" s="92"/>
      <c r="F118" s="92"/>
      <c r="G118" s="92"/>
      <c r="H118" s="92"/>
    </row>
    <row r="119" spans="1:28" x14ac:dyDescent="0.2">
      <c r="C119" s="23" t="s">
        <v>382</v>
      </c>
      <c r="D119" s="92" t="s">
        <v>28</v>
      </c>
      <c r="E119" s="92"/>
      <c r="F119" s="92"/>
      <c r="G119" s="92"/>
      <c r="H119" s="92"/>
    </row>
    <row r="120" spans="1:28" x14ac:dyDescent="0.2">
      <c r="C120" s="23" t="s">
        <v>383</v>
      </c>
      <c r="D120" s="92" t="s">
        <v>28</v>
      </c>
      <c r="E120" s="92"/>
      <c r="F120" s="92"/>
      <c r="G120" s="92"/>
      <c r="H120" s="92"/>
    </row>
    <row r="121" spans="1:28" x14ac:dyDescent="0.2">
      <c r="C121" s="23" t="s">
        <v>384</v>
      </c>
      <c r="D121" s="92" t="s">
        <v>27</v>
      </c>
      <c r="E121" s="92"/>
      <c r="F121" s="92"/>
      <c r="G121" s="92"/>
      <c r="H121" s="92"/>
    </row>
    <row r="122" spans="1:28" x14ac:dyDescent="0.2">
      <c r="C122" s="9" t="s">
        <v>375</v>
      </c>
      <c r="D122" s="34"/>
      <c r="E122" s="34"/>
      <c r="F122" s="34">
        <f>Source!BZ35</f>
        <v>118</v>
      </c>
      <c r="G122" s="57">
        <f>(Source!AF35+Source!AE35)*Source!FX35/100</f>
        <v>69.794640000000001</v>
      </c>
      <c r="H122" s="57">
        <f>Source!X35</f>
        <v>725.79</v>
      </c>
    </row>
    <row r="123" spans="1:28" x14ac:dyDescent="0.2">
      <c r="C123" s="9" t="s">
        <v>376</v>
      </c>
      <c r="D123" s="34"/>
      <c r="E123" s="34"/>
      <c r="F123" s="34"/>
      <c r="G123" s="34" t="str">
        <f>CONCATENATE(Source!DL35,Source!FT35, "=", Source!FX35, "%")</f>
        <v>*0,9=106,2%</v>
      </c>
      <c r="H123" s="34" t="str">
        <f>CONCATENATE(Source!AT35)</f>
        <v>106</v>
      </c>
    </row>
    <row r="124" spans="1:28" x14ac:dyDescent="0.2">
      <c r="C124" s="9" t="s">
        <v>377</v>
      </c>
      <c r="D124" s="34"/>
      <c r="E124" s="34"/>
      <c r="F124" s="34">
        <f>Source!CA35</f>
        <v>63</v>
      </c>
      <c r="G124" s="57">
        <f>(Source!AF35+Source!AE35)*Source!FY35/100</f>
        <v>35.193059999999996</v>
      </c>
      <c r="H124" s="57">
        <f>Source!Y35</f>
        <v>369.74</v>
      </c>
    </row>
    <row r="125" spans="1:28" x14ac:dyDescent="0.2">
      <c r="C125" s="9" t="s">
        <v>378</v>
      </c>
      <c r="D125" s="34"/>
      <c r="E125" s="34"/>
      <c r="F125" s="34"/>
      <c r="G125" s="34" t="str">
        <f>CONCATENATE(Source!DM35,Source!FU35, "=", Source!FY35, "%")</f>
        <v>*0,85=53,55%</v>
      </c>
      <c r="H125" s="34" t="str">
        <f>CONCATENATE(Source!AU35)</f>
        <v>54</v>
      </c>
    </row>
    <row r="126" spans="1:28" x14ac:dyDescent="0.2">
      <c r="C126" s="9" t="s">
        <v>379</v>
      </c>
      <c r="D126" s="34"/>
      <c r="E126" s="34"/>
      <c r="F126" s="34"/>
      <c r="G126" s="57">
        <f>((Source!AF35+Source!AE35)*Source!FX35/100)+((Source!AF35+Source!AE35)*Source!FY35/100)+Source!AB35</f>
        <v>206.70769999999999</v>
      </c>
      <c r="H126" s="57">
        <f>Source!O35+Source!X35+Source!Y35</f>
        <v>2155.31</v>
      </c>
    </row>
    <row r="127" spans="1:28" ht="14.25" x14ac:dyDescent="0.2">
      <c r="A127" s="46">
        <v>13</v>
      </c>
      <c r="B127" s="46" t="str">
        <f>Source!E36</f>
        <v>5,1</v>
      </c>
      <c r="C127" s="46" t="str">
        <f>Source!G36</f>
        <v>Уголок ПВХ</v>
      </c>
      <c r="D127" s="46" t="str">
        <f>Source!F36</f>
        <v>11.3.03.13</v>
      </c>
      <c r="E127" s="31" t="str">
        <f>Source!H36</f>
        <v>П.М</v>
      </c>
      <c r="F127" s="12">
        <f>Source!I36</f>
        <v>163.30000000000001</v>
      </c>
      <c r="G127" s="22">
        <f>Source!AB36</f>
        <v>0</v>
      </c>
      <c r="H127" s="22">
        <f>Source!O36</f>
        <v>0</v>
      </c>
      <c r="T127">
        <f>Source!O36+Source!X36+Source!Y36</f>
        <v>0</v>
      </c>
      <c r="U127">
        <f>Source!P36</f>
        <v>0</v>
      </c>
      <c r="V127">
        <f>Source!S36</f>
        <v>0</v>
      </c>
      <c r="W127">
        <f>Source!Q36</f>
        <v>0</v>
      </c>
      <c r="X127">
        <f>Source!R36</f>
        <v>0</v>
      </c>
      <c r="Y127">
        <f>Source!U36</f>
        <v>0</v>
      </c>
      <c r="Z127">
        <f>Source!V36</f>
        <v>0</v>
      </c>
      <c r="AA127">
        <f>Source!X36</f>
        <v>0</v>
      </c>
      <c r="AB127">
        <f>Source!Y36</f>
        <v>0</v>
      </c>
    </row>
    <row r="128" spans="1:28" ht="14.25" x14ac:dyDescent="0.2">
      <c r="C128" s="23" t="s">
        <v>373</v>
      </c>
      <c r="D128" s="23">
        <f>Source!BC36</f>
        <v>6.38</v>
      </c>
      <c r="F128" s="12"/>
      <c r="G128" s="12"/>
      <c r="H128" s="12"/>
    </row>
    <row r="129" spans="1:28" ht="28.5" x14ac:dyDescent="0.2">
      <c r="A129" s="46">
        <v>14</v>
      </c>
      <c r="B129" s="46" t="str">
        <f>Source!E37</f>
        <v>5,2</v>
      </c>
      <c r="C129" s="46" t="str">
        <f>Source!G37</f>
        <v>Уголок ПВХ, размером 20х20 мм</v>
      </c>
      <c r="D129" s="46" t="str">
        <f>Source!F37</f>
        <v>11.3.03.13-0043</v>
      </c>
      <c r="E129" s="31" t="str">
        <f>Source!H37</f>
        <v>10 м</v>
      </c>
      <c r="F129" s="12">
        <f>Source!I37</f>
        <v>16.329999999999998</v>
      </c>
      <c r="G129" s="22">
        <f>Source!AB37</f>
        <v>25.6</v>
      </c>
      <c r="H129" s="22">
        <f>Source!O37</f>
        <v>2667.15</v>
      </c>
      <c r="T129">
        <f>Source!O37+Source!X37+Source!Y37</f>
        <v>2667.15</v>
      </c>
      <c r="U129">
        <f>Source!P37</f>
        <v>2667.15</v>
      </c>
      <c r="V129">
        <f>Source!S37</f>
        <v>0</v>
      </c>
      <c r="W129">
        <f>Source!Q37</f>
        <v>0</v>
      </c>
      <c r="X129">
        <f>Source!R37</f>
        <v>0</v>
      </c>
      <c r="Y129">
        <f>Source!U37</f>
        <v>0</v>
      </c>
      <c r="Z129">
        <f>Source!V37</f>
        <v>0</v>
      </c>
      <c r="AA129">
        <f>Source!X37</f>
        <v>0</v>
      </c>
      <c r="AB129">
        <f>Source!Y37</f>
        <v>0</v>
      </c>
    </row>
    <row r="130" spans="1:28" ht="14.25" x14ac:dyDescent="0.2">
      <c r="C130" s="23" t="s">
        <v>373</v>
      </c>
      <c r="D130" s="23">
        <f>Source!BC37</f>
        <v>6.38</v>
      </c>
      <c r="F130" s="12"/>
      <c r="G130" s="12"/>
      <c r="H130" s="12"/>
    </row>
    <row r="131" spans="1:28" ht="28.5" x14ac:dyDescent="0.2">
      <c r="A131" s="46">
        <v>15</v>
      </c>
      <c r="B131" s="46" t="str">
        <f>Source!E38</f>
        <v>6</v>
      </c>
      <c r="C131" s="46" t="str">
        <f>Source!G38</f>
        <v>Установка подоконных досок из ПВХ в каменных стенах толщиной до 0,51 м</v>
      </c>
      <c r="D131" s="46" t="str">
        <f>Source!F38</f>
        <v>10-01-035-01</v>
      </c>
      <c r="E131" s="31" t="str">
        <f>Source!H38</f>
        <v>100 м</v>
      </c>
      <c r="F131" s="12">
        <f>Source!I38</f>
        <v>0.59799999999999998</v>
      </c>
      <c r="G131" s="22">
        <f>Source!AB38</f>
        <v>4213.95</v>
      </c>
      <c r="H131" s="22">
        <f>Source!O38</f>
        <v>16077.23</v>
      </c>
      <c r="T131">
        <f>Source!O38+Source!X38+Source!Y38</f>
        <v>17363.48</v>
      </c>
      <c r="U131">
        <f>Source!P38</f>
        <v>15231.2</v>
      </c>
      <c r="V131">
        <f>Source!S38</f>
        <v>793.04</v>
      </c>
      <c r="W131">
        <f>Source!Q38</f>
        <v>52.99</v>
      </c>
      <c r="X131">
        <f>Source!R38</f>
        <v>10.87</v>
      </c>
      <c r="Y131">
        <f>Source!U38</f>
        <v>14.572362999999999</v>
      </c>
      <c r="Z131">
        <f>Source!V38</f>
        <v>0.14202499999999998</v>
      </c>
      <c r="AA131">
        <f>Source!X38</f>
        <v>852.14</v>
      </c>
      <c r="AB131">
        <f>Source!Y38</f>
        <v>434.11</v>
      </c>
    </row>
    <row r="132" spans="1:28" ht="14.25" x14ac:dyDescent="0.2">
      <c r="C132" s="23" t="str">
        <f>"Объем: "&amp;Source!I38&amp;"=59,8/"&amp;"100"</f>
        <v>Объем: 0,598=59,8/100</v>
      </c>
      <c r="F132" s="12"/>
      <c r="G132" s="12"/>
      <c r="H132" s="12"/>
    </row>
    <row r="133" spans="1:28" x14ac:dyDescent="0.2">
      <c r="C133" s="23" t="s">
        <v>371</v>
      </c>
      <c r="D133" s="23">
        <f>Source!BA38</f>
        <v>6.38</v>
      </c>
    </row>
    <row r="134" spans="1:28" x14ac:dyDescent="0.2">
      <c r="C134" s="23" t="s">
        <v>372</v>
      </c>
      <c r="D134" s="23">
        <f>Source!BB38</f>
        <v>6.38</v>
      </c>
    </row>
    <row r="135" spans="1:28" x14ac:dyDescent="0.2">
      <c r="C135" s="23" t="s">
        <v>373</v>
      </c>
      <c r="D135" s="23">
        <f>Source!BC38</f>
        <v>6.38</v>
      </c>
    </row>
    <row r="136" spans="1:28" x14ac:dyDescent="0.2">
      <c r="C136" s="23" t="s">
        <v>374</v>
      </c>
      <c r="D136" s="23">
        <f>Source!BS38</f>
        <v>6.38</v>
      </c>
    </row>
    <row r="137" spans="1:28" x14ac:dyDescent="0.2">
      <c r="C137" s="23" t="s">
        <v>380</v>
      </c>
      <c r="D137" s="92" t="s">
        <v>27</v>
      </c>
      <c r="E137" s="92"/>
      <c r="F137" s="92"/>
      <c r="G137" s="92"/>
      <c r="H137" s="92"/>
    </row>
    <row r="138" spans="1:28" x14ac:dyDescent="0.2">
      <c r="C138" s="23" t="s">
        <v>381</v>
      </c>
      <c r="D138" s="92" t="s">
        <v>27</v>
      </c>
      <c r="E138" s="92"/>
      <c r="F138" s="92"/>
      <c r="G138" s="92"/>
      <c r="H138" s="92"/>
    </row>
    <row r="139" spans="1:28" x14ac:dyDescent="0.2">
      <c r="C139" s="23" t="s">
        <v>382</v>
      </c>
      <c r="D139" s="92" t="s">
        <v>28</v>
      </c>
      <c r="E139" s="92"/>
      <c r="F139" s="92"/>
      <c r="G139" s="92"/>
      <c r="H139" s="92"/>
    </row>
    <row r="140" spans="1:28" x14ac:dyDescent="0.2">
      <c r="C140" s="23" t="s">
        <v>383</v>
      </c>
      <c r="D140" s="92" t="s">
        <v>28</v>
      </c>
      <c r="E140" s="92"/>
      <c r="F140" s="92"/>
      <c r="G140" s="92"/>
      <c r="H140" s="92"/>
    </row>
    <row r="141" spans="1:28" x14ac:dyDescent="0.2">
      <c r="C141" s="23" t="s">
        <v>384</v>
      </c>
      <c r="D141" s="92" t="s">
        <v>27</v>
      </c>
      <c r="E141" s="92"/>
      <c r="F141" s="92"/>
      <c r="G141" s="92"/>
      <c r="H141" s="92"/>
    </row>
    <row r="142" spans="1:28" x14ac:dyDescent="0.2">
      <c r="C142" s="9" t="s">
        <v>375</v>
      </c>
      <c r="D142" s="34"/>
      <c r="E142" s="34"/>
      <c r="F142" s="34">
        <f>Source!BZ38</f>
        <v>118</v>
      </c>
      <c r="G142" s="57">
        <f>(Source!AF38+Source!AE38)*Source!FX38/100</f>
        <v>223.77402000000001</v>
      </c>
      <c r="H142" s="57">
        <f>Source!X38</f>
        <v>852.14</v>
      </c>
    </row>
    <row r="143" spans="1:28" x14ac:dyDescent="0.2">
      <c r="C143" s="9" t="s">
        <v>376</v>
      </c>
      <c r="D143" s="34"/>
      <c r="E143" s="34"/>
      <c r="F143" s="34"/>
      <c r="G143" s="34" t="str">
        <f>CONCATENATE(Source!DL38,Source!FT38, "=", Source!FX38, "%")</f>
        <v>*0,9=106,2%</v>
      </c>
      <c r="H143" s="34" t="str">
        <f>CONCATENATE(Source!AT38)</f>
        <v>106</v>
      </c>
    </row>
    <row r="144" spans="1:28" x14ac:dyDescent="0.2">
      <c r="C144" s="9" t="s">
        <v>377</v>
      </c>
      <c r="D144" s="34"/>
      <c r="E144" s="34"/>
      <c r="F144" s="34">
        <f>Source!CA38</f>
        <v>63</v>
      </c>
      <c r="G144" s="57">
        <f>(Source!AF38+Source!AE38)*Source!FY38/100</f>
        <v>112.835205</v>
      </c>
      <c r="H144" s="57">
        <f>Source!Y38</f>
        <v>434.11</v>
      </c>
    </row>
    <row r="145" spans="1:28" x14ac:dyDescent="0.2">
      <c r="C145" s="9" t="s">
        <v>378</v>
      </c>
      <c r="D145" s="34"/>
      <c r="E145" s="34"/>
      <c r="F145" s="34"/>
      <c r="G145" s="34" t="str">
        <f>CONCATENATE(Source!DM38,Source!FU38, "=", Source!FY38, "%")</f>
        <v>*0,85=53,55%</v>
      </c>
      <c r="H145" s="34" t="str">
        <f>CONCATENATE(Source!AU38)</f>
        <v>54</v>
      </c>
    </row>
    <row r="146" spans="1:28" x14ac:dyDescent="0.2">
      <c r="C146" s="9" t="s">
        <v>379</v>
      </c>
      <c r="D146" s="34"/>
      <c r="E146" s="34"/>
      <c r="F146" s="34"/>
      <c r="G146" s="57">
        <f>((Source!AF38+Source!AE38)*Source!FX38/100)+((Source!AF38+Source!AE38)*Source!FY38/100)+Source!AB38</f>
        <v>4550.559225</v>
      </c>
      <c r="H146" s="57">
        <f>Source!O38+Source!X38+Source!Y38</f>
        <v>17363.48</v>
      </c>
    </row>
    <row r="147" spans="1:28" ht="85.5" x14ac:dyDescent="0.2">
      <c r="A147" s="46">
        <v>16</v>
      </c>
      <c r="B147" s="46" t="str">
        <f>Source!E39</f>
        <v>6,1</v>
      </c>
      <c r="C147" s="46" t="s">
        <v>330</v>
      </c>
      <c r="D147" s="46" t="str">
        <f>Source!F39</f>
        <v>Средняя цена коммерческих предложений</v>
      </c>
      <c r="E147" s="31" t="str">
        <f>Source!H39</f>
        <v>м</v>
      </c>
      <c r="F147" s="12">
        <f>Source!I39</f>
        <v>59.8</v>
      </c>
      <c r="G147" s="22">
        <f>Source!AB39</f>
        <v>197.08</v>
      </c>
      <c r="H147" s="22">
        <f>Source!O39</f>
        <v>75190.75</v>
      </c>
      <c r="T147">
        <f>Source!O39+Source!X39+Source!Y39</f>
        <v>75190.75</v>
      </c>
      <c r="U147">
        <f>Source!P39</f>
        <v>75190.75</v>
      </c>
      <c r="V147">
        <f>Source!S39</f>
        <v>0</v>
      </c>
      <c r="W147">
        <f>Source!Q39</f>
        <v>0</v>
      </c>
      <c r="X147">
        <f>Source!R39</f>
        <v>0</v>
      </c>
      <c r="Y147">
        <f>Source!U39</f>
        <v>0</v>
      </c>
      <c r="Z147">
        <f>Source!V39</f>
        <v>0</v>
      </c>
      <c r="AA147">
        <f>Source!X39</f>
        <v>0</v>
      </c>
      <c r="AB147">
        <f>Source!Y39</f>
        <v>0</v>
      </c>
    </row>
    <row r="148" spans="1:28" ht="14.25" x14ac:dyDescent="0.2">
      <c r="C148" s="23" t="s">
        <v>373</v>
      </c>
      <c r="D148" s="23">
        <f>Source!BC39</f>
        <v>6.38</v>
      </c>
      <c r="F148" s="12"/>
      <c r="G148" s="12"/>
      <c r="H148" s="12"/>
    </row>
    <row r="149" spans="1:28" ht="42.75" x14ac:dyDescent="0.2">
      <c r="A149" s="46">
        <v>17</v>
      </c>
      <c r="B149" s="46" t="str">
        <f>Source!E40</f>
        <v>7</v>
      </c>
      <c r="C149" s="46" t="str">
        <f>Source!G40</f>
        <v>Погрузочные работы при автомобильных перевозках мусора строительного с погрузкой вручную</v>
      </c>
      <c r="D149" s="46" t="str">
        <f>Source!F40</f>
        <v>т01-01-01-041</v>
      </c>
      <c r="E149" s="31" t="str">
        <f>Source!H40</f>
        <v>1 Т ГРУЗА</v>
      </c>
      <c r="F149" s="12">
        <f>Source!I40</f>
        <v>6</v>
      </c>
      <c r="G149" s="22">
        <f>Source!AB40</f>
        <v>42.98</v>
      </c>
      <c r="H149" s="22">
        <f>Source!GM40</f>
        <v>1645.27</v>
      </c>
      <c r="T149">
        <f>Source!GM40</f>
        <v>1645.27</v>
      </c>
      <c r="U149">
        <f>Source!P40</f>
        <v>0</v>
      </c>
      <c r="V149">
        <f>Source!S40</f>
        <v>0</v>
      </c>
      <c r="W149">
        <f>Source!Q40</f>
        <v>0</v>
      </c>
      <c r="X149">
        <f>Source!R40</f>
        <v>0</v>
      </c>
      <c r="Y149">
        <f>Source!U40</f>
        <v>0</v>
      </c>
      <c r="Z149">
        <f>Source!V40</f>
        <v>0</v>
      </c>
      <c r="AA149">
        <f>Source!X40</f>
        <v>0</v>
      </c>
      <c r="AB149">
        <f>Source!Y40</f>
        <v>0</v>
      </c>
    </row>
    <row r="150" spans="1:28" ht="14.25" x14ac:dyDescent="0.2">
      <c r="C150" s="23" t="s">
        <v>386</v>
      </c>
      <c r="D150" s="23">
        <f>Source!AZ40</f>
        <v>6.38</v>
      </c>
      <c r="F150" s="12"/>
      <c r="G150" s="12"/>
      <c r="H150" s="12"/>
    </row>
    <row r="151" spans="1:28" ht="57" x14ac:dyDescent="0.2">
      <c r="A151" s="46">
        <v>18</v>
      </c>
      <c r="B151" s="46" t="str">
        <f>Source!E41</f>
        <v>8</v>
      </c>
      <c r="C151" s="46" t="str">
        <f>Source!G41</f>
        <v>Перевозка грузов I класса автомобилями бортовыми грузоподъемностью до 15 т на расстояние до 15 км</v>
      </c>
      <c r="D151" s="46" t="str">
        <f>Source!F41</f>
        <v>т03-01-01-015</v>
      </c>
      <c r="E151" s="31" t="str">
        <f>Source!H41</f>
        <v>1 Т ГРУЗА</v>
      </c>
      <c r="F151" s="12">
        <f>Source!I41</f>
        <v>6</v>
      </c>
      <c r="G151" s="22">
        <f>Source!AB41</f>
        <v>14.03</v>
      </c>
      <c r="H151" s="22">
        <f>Source!GM41</f>
        <v>537.07000000000005</v>
      </c>
      <c r="T151">
        <f>Source!GM41</f>
        <v>537.07000000000005</v>
      </c>
      <c r="U151">
        <f>Source!P41</f>
        <v>0</v>
      </c>
      <c r="V151">
        <f>Source!S41</f>
        <v>0</v>
      </c>
      <c r="W151">
        <f>Source!Q41</f>
        <v>0</v>
      </c>
      <c r="X151">
        <f>Source!R41</f>
        <v>0</v>
      </c>
      <c r="Y151">
        <f>Source!U41</f>
        <v>0</v>
      </c>
      <c r="Z151">
        <f>Source!V41</f>
        <v>0</v>
      </c>
      <c r="AA151">
        <f>Source!X41</f>
        <v>0</v>
      </c>
      <c r="AB151">
        <f>Source!Y41</f>
        <v>0</v>
      </c>
    </row>
    <row r="152" spans="1:28" ht="14.25" x14ac:dyDescent="0.2">
      <c r="C152" s="23" t="s">
        <v>386</v>
      </c>
      <c r="D152" s="23">
        <f>Source!AZ41</f>
        <v>6.38</v>
      </c>
      <c r="F152" s="12"/>
      <c r="G152" s="12"/>
      <c r="H152" s="12"/>
    </row>
    <row r="154" spans="1:28" ht="15" x14ac:dyDescent="0.25">
      <c r="A154" s="58"/>
      <c r="B154" s="58"/>
      <c r="C154" s="76" t="str">
        <f>CONCATENATE("Итого по локальной смете: ",IF(Source!G43&lt;&gt;"Новая локальная смета", Source!G43, ""))</f>
        <v xml:space="preserve">Итого по локальной смете: </v>
      </c>
      <c r="D154" s="76"/>
      <c r="E154" s="76"/>
      <c r="F154" s="76"/>
      <c r="G154" s="58"/>
      <c r="H154" s="59">
        <f>IF(SUM(T37:T153)=0, "-", SUM(T37:T153))</f>
        <v>802344</v>
      </c>
    </row>
    <row r="155" spans="1:28" ht="15" x14ac:dyDescent="0.25">
      <c r="A155" s="58"/>
      <c r="B155" s="58"/>
      <c r="C155" s="58"/>
      <c r="D155" s="58"/>
      <c r="E155" s="58"/>
      <c r="F155" s="58"/>
      <c r="G155" s="58"/>
      <c r="H155" s="58"/>
    </row>
    <row r="157" spans="1:28" ht="14.25" x14ac:dyDescent="0.2">
      <c r="C157" s="88" t="str">
        <f>Source!H71</f>
        <v>Итого</v>
      </c>
      <c r="D157" s="88"/>
      <c r="E157" s="88"/>
      <c r="F157" s="88"/>
      <c r="G157" s="79">
        <f>IF(Source!F71=0, "", Source!F71)</f>
        <v>802344</v>
      </c>
      <c r="H157" s="79"/>
    </row>
    <row r="158" spans="1:28" ht="14.25" x14ac:dyDescent="0.2">
      <c r="C158" s="88" t="str">
        <f>Source!H72</f>
        <v>НДС 18%</v>
      </c>
      <c r="D158" s="88"/>
      <c r="E158" s="88"/>
      <c r="F158" s="88"/>
      <c r="G158" s="79">
        <f>IF(Source!F72=0, "", Source!F72)</f>
        <v>144421.92000000001</v>
      </c>
      <c r="H158" s="79"/>
    </row>
    <row r="159" spans="1:28" ht="14.25" x14ac:dyDescent="0.2">
      <c r="C159" s="88" t="str">
        <f>Source!H73</f>
        <v>Всего</v>
      </c>
      <c r="D159" s="88"/>
      <c r="E159" s="88"/>
      <c r="F159" s="88"/>
      <c r="G159" s="79">
        <f>IF(Source!F73=0, "", Source!F73)</f>
        <v>946765.92</v>
      </c>
      <c r="H159" s="79"/>
    </row>
    <row r="161" spans="1:33" ht="135" x14ac:dyDescent="0.25">
      <c r="A161" s="58"/>
      <c r="B161" s="58"/>
      <c r="C161" s="76" t="str">
        <f>CONCATENATE("Итого по смете: ",IF(Source!G75&lt;&gt;"Новый объект", Source!G75, ""))</f>
        <v xml:space="preserve">Итого по смете:  по капитальному ремонту оконных проемов с заменой деревянных оконных блоков на оконные блоки из ПВХ на лестничных клетках с второго по четвертый этажи,в кабинетах № 8, № 1,   аудиториях № 7, № 6,№ 5,№ 3,№ 15,№ 16,№ 18, № 11, препараторских № 4,№ 17 четвертого этажа здания учебного корпуса Нововоронежского политехнического колледжа -                                                   филиала  НИЯУ МИФИ  (НВПК НИЯУ МИФИ) по адреcу:  Воронежская обл.,  г. Нововоронеж, ул. Октябрьская, д.1                 
</v>
      </c>
      <c r="D161" s="76"/>
      <c r="E161" s="76"/>
      <c r="F161" s="76"/>
      <c r="G161" s="58"/>
      <c r="H161" s="59">
        <f>IF(SUM(T1:T160)=0, "-", SUM(T1:T160))</f>
        <v>802344</v>
      </c>
      <c r="AG161" s="50" t="str">
        <f>CONCATENATE("Итого по смете: ",IF(Source!G75&lt;&gt;"Новый объект", Source!G75, ""))</f>
        <v xml:space="preserve">Итого по смете:  по капитальному ремонту оконных проемов с заменой деревянных оконных блоков на оконные блоки из ПВХ на лестничных клетках с второго по четвертый этажи,в кабинетах № 8, № 1,   аудиториях № 7, № 6,№ 5,№ 3,№ 15,№ 16,№ 18, № 11, препараторских № 4,№ 17 четвертого этажа здания учебного корпуса Нововоронежского политехнического колледжа -                                                   филиала  НИЯУ МИФИ  (НВПК НИЯУ МИФИ) по адреcу:  Воронежская обл.,  г. Нововоронеж, ул. Октябрьская, д.1                 
</v>
      </c>
    </row>
    <row r="162" spans="1:33" ht="15" x14ac:dyDescent="0.25">
      <c r="A162" s="58"/>
      <c r="B162" s="58"/>
      <c r="C162" s="58"/>
      <c r="D162" s="58"/>
      <c r="E162" s="58"/>
      <c r="F162" s="58"/>
      <c r="G162" s="58"/>
      <c r="H162" s="58"/>
    </row>
    <row r="165" spans="1:33" ht="15" thickBot="1" x14ac:dyDescent="0.25">
      <c r="A165" s="89" t="s">
        <v>387</v>
      </c>
      <c r="B165" s="89"/>
      <c r="C165" s="60" t="str">
        <f>IF(Source!AC12&lt;&gt;"", Source!AC12," ")</f>
        <v xml:space="preserve"> </v>
      </c>
      <c r="D165" s="12"/>
      <c r="E165" s="61"/>
      <c r="F165" s="12"/>
      <c r="G165" s="90" t="str">
        <f>IF(Source!AB12&lt;&gt;"", Source!AB12," ")</f>
        <v xml:space="preserve"> </v>
      </c>
      <c r="H165" s="90"/>
      <c r="I165" s="12"/>
      <c r="J165" s="12"/>
      <c r="K165" s="12"/>
      <c r="L165" s="12"/>
    </row>
    <row r="166" spans="1:33" ht="14.25" x14ac:dyDescent="0.2">
      <c r="A166" s="12"/>
      <c r="B166" s="12"/>
      <c r="C166" s="62" t="s">
        <v>388</v>
      </c>
      <c r="D166" s="12"/>
      <c r="E166" s="62" t="s">
        <v>389</v>
      </c>
      <c r="F166" s="12"/>
      <c r="G166" s="91" t="s">
        <v>390</v>
      </c>
      <c r="H166" s="91"/>
      <c r="I166" s="12"/>
      <c r="J166" s="12"/>
      <c r="K166" s="12"/>
      <c r="L166" s="12"/>
    </row>
    <row r="167" spans="1:33" ht="14.25" x14ac:dyDescent="0.2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 spans="1:33" ht="14.25" x14ac:dyDescent="0.2">
      <c r="A168" s="12"/>
      <c r="B168" s="12"/>
      <c r="C168" s="13" t="s">
        <v>391</v>
      </c>
      <c r="D168" s="12"/>
      <c r="E168" s="12"/>
      <c r="F168" s="12"/>
      <c r="G168" s="12"/>
      <c r="H168" s="12"/>
      <c r="I168" s="12"/>
      <c r="J168" s="12"/>
      <c r="K168" s="12"/>
      <c r="L168" s="12"/>
    </row>
    <row r="169" spans="1:33" ht="14.25" x14ac:dyDescent="0.2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 spans="1:33" ht="15" thickBot="1" x14ac:dyDescent="0.25">
      <c r="A170" s="89" t="s">
        <v>392</v>
      </c>
      <c r="B170" s="89"/>
      <c r="C170" s="60" t="str">
        <f>IF(Source!AG12&lt;&gt;"", Source!AG12," ")</f>
        <v xml:space="preserve"> </v>
      </c>
      <c r="D170" s="12"/>
      <c r="E170" s="61"/>
      <c r="F170" s="12"/>
      <c r="G170" s="90" t="str">
        <f>IF(Source!AF12&lt;&gt;"", Source!AF12," ")</f>
        <v xml:space="preserve"> </v>
      </c>
      <c r="H170" s="90"/>
      <c r="I170" s="12"/>
      <c r="J170" s="12"/>
      <c r="K170" s="12"/>
      <c r="L170" s="12"/>
    </row>
    <row r="171" spans="1:33" ht="14.25" x14ac:dyDescent="0.2">
      <c r="A171" s="12"/>
      <c r="B171" s="12"/>
      <c r="C171" s="62" t="s">
        <v>388</v>
      </c>
      <c r="D171" s="12"/>
      <c r="E171" s="62" t="s">
        <v>389</v>
      </c>
      <c r="F171" s="12"/>
      <c r="G171" s="91" t="s">
        <v>390</v>
      </c>
      <c r="H171" s="91"/>
      <c r="I171" s="12"/>
      <c r="J171" s="12"/>
      <c r="K171" s="12"/>
      <c r="L171" s="12"/>
    </row>
    <row r="172" spans="1:33" ht="14.25" x14ac:dyDescent="0.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 spans="1:33" ht="14.25" x14ac:dyDescent="0.2">
      <c r="A173" s="12"/>
      <c r="B173" s="12"/>
      <c r="C173" s="13" t="s">
        <v>391</v>
      </c>
      <c r="D173" s="12"/>
      <c r="E173" s="12"/>
      <c r="F173" s="12"/>
      <c r="G173" s="12"/>
      <c r="H173" s="12"/>
      <c r="I173" s="12"/>
      <c r="J173" s="12"/>
      <c r="K173" s="12"/>
      <c r="L173" s="12"/>
    </row>
  </sheetData>
  <mergeCells count="77">
    <mergeCell ref="G8:H9"/>
    <mergeCell ref="C9:E9"/>
    <mergeCell ref="E2:H2"/>
    <mergeCell ref="E3:H3"/>
    <mergeCell ref="E4:H4"/>
    <mergeCell ref="G6:H6"/>
    <mergeCell ref="G7:H7"/>
    <mergeCell ref="C10:E10"/>
    <mergeCell ref="G10:H11"/>
    <mergeCell ref="C11:E11"/>
    <mergeCell ref="C12:E12"/>
    <mergeCell ref="G12:H13"/>
    <mergeCell ref="C13:E13"/>
    <mergeCell ref="C14:E14"/>
    <mergeCell ref="G14:H15"/>
    <mergeCell ref="C15:E15"/>
    <mergeCell ref="C16:E16"/>
    <mergeCell ref="G16:H17"/>
    <mergeCell ref="C17:E17"/>
    <mergeCell ref="A29:H29"/>
    <mergeCell ref="C18:E18"/>
    <mergeCell ref="D19:F19"/>
    <mergeCell ref="G19:H19"/>
    <mergeCell ref="D20:E20"/>
    <mergeCell ref="G20:H20"/>
    <mergeCell ref="G21:H21"/>
    <mergeCell ref="G22:H22"/>
    <mergeCell ref="D24:D25"/>
    <mergeCell ref="E24:E25"/>
    <mergeCell ref="F24:G24"/>
    <mergeCell ref="A28:H28"/>
    <mergeCell ref="D59:H59"/>
    <mergeCell ref="F31:G31"/>
    <mergeCell ref="A33:B33"/>
    <mergeCell ref="C33:C34"/>
    <mergeCell ref="D33:D34"/>
    <mergeCell ref="E33:E34"/>
    <mergeCell ref="F33:H33"/>
    <mergeCell ref="A37:H37"/>
    <mergeCell ref="D55:H55"/>
    <mergeCell ref="D56:H56"/>
    <mergeCell ref="D57:H57"/>
    <mergeCell ref="D58:H58"/>
    <mergeCell ref="D118:H118"/>
    <mergeCell ref="D73:H73"/>
    <mergeCell ref="D74:H74"/>
    <mergeCell ref="D75:H75"/>
    <mergeCell ref="D76:H76"/>
    <mergeCell ref="D77:H77"/>
    <mergeCell ref="D93:H93"/>
    <mergeCell ref="D94:H94"/>
    <mergeCell ref="D95:H95"/>
    <mergeCell ref="D96:H96"/>
    <mergeCell ref="D97:H97"/>
    <mergeCell ref="D117:H117"/>
    <mergeCell ref="C158:F158"/>
    <mergeCell ref="G158:H158"/>
    <mergeCell ref="D119:H119"/>
    <mergeCell ref="D120:H120"/>
    <mergeCell ref="D121:H121"/>
    <mergeCell ref="D137:H137"/>
    <mergeCell ref="D138:H138"/>
    <mergeCell ref="D139:H139"/>
    <mergeCell ref="D140:H140"/>
    <mergeCell ref="D141:H141"/>
    <mergeCell ref="C154:F154"/>
    <mergeCell ref="C157:F157"/>
    <mergeCell ref="G157:H157"/>
    <mergeCell ref="A170:B170"/>
    <mergeCell ref="G170:H170"/>
    <mergeCell ref="G171:H171"/>
    <mergeCell ref="C159:F159"/>
    <mergeCell ref="G159:H159"/>
    <mergeCell ref="C161:F161"/>
    <mergeCell ref="A165:B165"/>
    <mergeCell ref="G165:H165"/>
    <mergeCell ref="G166:H166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38"/>
  <sheetViews>
    <sheetView workbookViewId="0">
      <selection activeCell="L12" sqref="L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ht="409.5" x14ac:dyDescent="0.2">
      <c r="A12" s="1">
        <v>1</v>
      </c>
      <c r="B12" s="1">
        <v>133</v>
      </c>
      <c r="C12" s="1">
        <v>0</v>
      </c>
      <c r="D12" s="1">
        <f>ROW(A75)</f>
        <v>75</v>
      </c>
      <c r="E12" s="1">
        <v>0</v>
      </c>
      <c r="F12" s="1" t="s">
        <v>4</v>
      </c>
      <c r="G12" s="64" t="s">
        <v>394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B75</f>
        <v>133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объект_(Копия)_(Копия)_(Копия)</v>
      </c>
      <c r="G18" s="2" t="str">
        <f t="shared" si="0"/>
        <v xml:space="preserve"> по капитальному ремонту оконных проемов с заменой деревянных оконных блоков на оконные блоки из ПВХ на лестничных клетках с второго по четвертый этажи,в кабинетах № 8, № 1,   аудиториях № 7, № 6,№ 5,№ 3,№ 15,№ 16,№ 18, № 11, препараторских № 4,№ 17 четвертого этажа здания учебного корпуса Нововоронежского политехнического колледжа -                                                   филиала  НИЯУ МИФИ  (НВПК НИЯУ МИФИ) по адреcу:  Воронежская обл.,  г. Нововоронеж, ул. Октябрьская, д.1                 
</v>
      </c>
      <c r="H18" s="2"/>
      <c r="I18" s="2"/>
      <c r="J18" s="2"/>
      <c r="K18" s="2"/>
      <c r="L18" s="2"/>
      <c r="M18" s="2"/>
      <c r="N18" s="2"/>
      <c r="O18" s="2">
        <f t="shared" ref="O18:AT18" si="1">O75</f>
        <v>743144.1</v>
      </c>
      <c r="P18" s="2">
        <f t="shared" si="1"/>
        <v>703093.17</v>
      </c>
      <c r="Q18" s="2">
        <f t="shared" si="1"/>
        <v>4974.72</v>
      </c>
      <c r="R18" s="2">
        <f t="shared" si="1"/>
        <v>1457.51</v>
      </c>
      <c r="S18" s="2">
        <f t="shared" si="1"/>
        <v>35076.21</v>
      </c>
      <c r="T18" s="2">
        <f t="shared" si="1"/>
        <v>0</v>
      </c>
      <c r="U18" s="2">
        <f t="shared" si="1"/>
        <v>642.25272219999999</v>
      </c>
      <c r="V18" s="2">
        <f t="shared" si="1"/>
        <v>17.824902250000001</v>
      </c>
      <c r="W18" s="2">
        <f t="shared" si="1"/>
        <v>0</v>
      </c>
      <c r="X18" s="2">
        <f t="shared" si="1"/>
        <v>36973.85</v>
      </c>
      <c r="Y18" s="2">
        <f t="shared" si="1"/>
        <v>20043.71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802344</v>
      </c>
      <c r="AS18" s="2">
        <f t="shared" si="1"/>
        <v>802344</v>
      </c>
      <c r="AT18" s="2">
        <f t="shared" si="1"/>
        <v>0</v>
      </c>
      <c r="AU18" s="2">
        <f t="shared" ref="AU18:BZ18" si="2">AU75</f>
        <v>0</v>
      </c>
      <c r="AV18" s="2">
        <f t="shared" si="2"/>
        <v>703093.17</v>
      </c>
      <c r="AW18" s="2">
        <f t="shared" si="2"/>
        <v>703093.17</v>
      </c>
      <c r="AX18" s="2">
        <f t="shared" si="2"/>
        <v>0</v>
      </c>
      <c r="AY18" s="2">
        <f t="shared" si="2"/>
        <v>703093.17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CA75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DG75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EM75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FS75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ROW(A43)</f>
        <v>43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45" x14ac:dyDescent="0.2">
      <c r="A22" s="2">
        <v>52</v>
      </c>
      <c r="B22" s="2">
        <f t="shared" ref="B22:G22" si="7">B43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O43</f>
        <v>743144.1</v>
      </c>
      <c r="P22" s="2">
        <f t="shared" si="8"/>
        <v>703093.17</v>
      </c>
      <c r="Q22" s="2">
        <f t="shared" si="8"/>
        <v>4974.72</v>
      </c>
      <c r="R22" s="2">
        <f t="shared" si="8"/>
        <v>1457.51</v>
      </c>
      <c r="S22" s="2">
        <f t="shared" si="8"/>
        <v>35076.21</v>
      </c>
      <c r="T22" s="2">
        <f t="shared" si="8"/>
        <v>0</v>
      </c>
      <c r="U22" s="2">
        <f t="shared" si="8"/>
        <v>642.25272219999999</v>
      </c>
      <c r="V22" s="2">
        <f t="shared" si="8"/>
        <v>17.824902250000001</v>
      </c>
      <c r="W22" s="2">
        <f t="shared" si="8"/>
        <v>0</v>
      </c>
      <c r="X22" s="2">
        <f t="shared" si="8"/>
        <v>36973.85</v>
      </c>
      <c r="Y22" s="2">
        <f t="shared" si="8"/>
        <v>20043.71</v>
      </c>
      <c r="Z22" s="2">
        <f t="shared" si="8"/>
        <v>0</v>
      </c>
      <c r="AA22" s="2">
        <f t="shared" si="8"/>
        <v>0</v>
      </c>
      <c r="AB22" s="2">
        <f t="shared" si="8"/>
        <v>743144.1</v>
      </c>
      <c r="AC22" s="2">
        <f t="shared" si="8"/>
        <v>703093.17</v>
      </c>
      <c r="AD22" s="2">
        <f t="shared" si="8"/>
        <v>4974.72</v>
      </c>
      <c r="AE22" s="2">
        <f t="shared" si="8"/>
        <v>1457.51</v>
      </c>
      <c r="AF22" s="2">
        <f t="shared" si="8"/>
        <v>35076.21</v>
      </c>
      <c r="AG22" s="2">
        <f t="shared" si="8"/>
        <v>0</v>
      </c>
      <c r="AH22" s="2">
        <f t="shared" si="8"/>
        <v>642.25272219999999</v>
      </c>
      <c r="AI22" s="2">
        <f t="shared" si="8"/>
        <v>17.824902250000001</v>
      </c>
      <c r="AJ22" s="2">
        <f t="shared" si="8"/>
        <v>0</v>
      </c>
      <c r="AK22" s="2">
        <f t="shared" si="8"/>
        <v>36973.85</v>
      </c>
      <c r="AL22" s="2">
        <f t="shared" si="8"/>
        <v>20043.71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802344</v>
      </c>
      <c r="AS22" s="2">
        <f t="shared" si="8"/>
        <v>802344</v>
      </c>
      <c r="AT22" s="2">
        <f t="shared" si="8"/>
        <v>0</v>
      </c>
      <c r="AU22" s="2">
        <f t="shared" ref="AU22:BZ22" si="9">AU43</f>
        <v>0</v>
      </c>
      <c r="AV22" s="2">
        <f t="shared" si="9"/>
        <v>703093.17</v>
      </c>
      <c r="AW22" s="2">
        <f t="shared" si="9"/>
        <v>703093.17</v>
      </c>
      <c r="AX22" s="2">
        <f t="shared" si="9"/>
        <v>0</v>
      </c>
      <c r="AY22" s="2">
        <f t="shared" si="9"/>
        <v>703093.17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CA43</f>
        <v>802344</v>
      </c>
      <c r="CB22" s="2">
        <f t="shared" si="10"/>
        <v>802344</v>
      </c>
      <c r="CC22" s="2">
        <f t="shared" si="10"/>
        <v>0</v>
      </c>
      <c r="CD22" s="2">
        <f t="shared" si="10"/>
        <v>0</v>
      </c>
      <c r="CE22" s="2">
        <f t="shared" si="10"/>
        <v>703093.17</v>
      </c>
      <c r="CF22" s="2">
        <f t="shared" si="10"/>
        <v>703093.17</v>
      </c>
      <c r="CG22" s="2">
        <f t="shared" si="10"/>
        <v>0</v>
      </c>
      <c r="CH22" s="2">
        <f t="shared" si="10"/>
        <v>703093.17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DG43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EM43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FS43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ROW(SmtRes!A3)</f>
        <v>3</v>
      </c>
      <c r="D24">
        <f>ROW(EtalonRes!A3)</f>
        <v>3</v>
      </c>
      <c r="E24" t="s">
        <v>13</v>
      </c>
      <c r="F24" t="s">
        <v>14</v>
      </c>
      <c r="G24" t="s">
        <v>15</v>
      </c>
      <c r="H24" t="s">
        <v>16</v>
      </c>
      <c r="I24">
        <f>ROUND(131.79/100,9)</f>
        <v>1.3179000000000001</v>
      </c>
      <c r="J24">
        <v>0</v>
      </c>
      <c r="O24">
        <f t="shared" ref="O24:O39" si="14">ROUND(CP24,2)</f>
        <v>14859.31</v>
      </c>
      <c r="P24">
        <f t="shared" ref="P24:P39" si="15">ROUND(CQ24*I24,2)</f>
        <v>0</v>
      </c>
      <c r="Q24">
        <f t="shared" ref="Q24:Q39" si="16">ROUND(CR24*I24,2)</f>
        <v>2034.36</v>
      </c>
      <c r="R24">
        <f t="shared" ref="R24:R39" si="17">ROUND(CS24*I24,2)</f>
        <v>878.57</v>
      </c>
      <c r="S24">
        <f t="shared" ref="S24:S39" si="18">ROUND(CT24*I24,2)</f>
        <v>12824.95</v>
      </c>
      <c r="T24">
        <f t="shared" ref="T24:T39" si="19">ROUND(CU24*I24,2)</f>
        <v>0</v>
      </c>
      <c r="U24">
        <f t="shared" ref="U24:U39" si="20">CV24*I24</f>
        <v>248.476866</v>
      </c>
      <c r="V24">
        <f t="shared" ref="V24:V39" si="21">CW24*I24</f>
        <v>10.200546000000001</v>
      </c>
      <c r="W24">
        <f t="shared" ref="W24:W39" si="22">ROUND(CX24*I24,2)</f>
        <v>0</v>
      </c>
      <c r="X24">
        <f t="shared" ref="X24:X39" si="23">ROUND(CY24,2)</f>
        <v>13566.48</v>
      </c>
      <c r="Y24">
        <f t="shared" ref="Y24:Y39" si="24">ROUND(CZ24,2)</f>
        <v>8222.11</v>
      </c>
      <c r="AA24">
        <v>16628881</v>
      </c>
      <c r="AB24">
        <f t="shared" ref="AB24:AB39" si="25">ROUND((AC24+AD24+AF24),2)</f>
        <v>1767.24</v>
      </c>
      <c r="AC24">
        <f t="shared" ref="AC24:AC39" si="26">ROUND((ES24),2)</f>
        <v>0</v>
      </c>
      <c r="AD24">
        <f>ROUND((((ET24)-(EU24))+AE24),2)</f>
        <v>241.95</v>
      </c>
      <c r="AE24">
        <f>ROUND((EU24),2)</f>
        <v>104.49</v>
      </c>
      <c r="AF24">
        <f>ROUND((EV24),2)</f>
        <v>1525.29</v>
      </c>
      <c r="AG24">
        <f t="shared" ref="AG24:AG39" si="27">ROUND((AP24),2)</f>
        <v>0</v>
      </c>
      <c r="AH24">
        <f>(EW24)</f>
        <v>188.54</v>
      </c>
      <c r="AI24">
        <f>(EX24)</f>
        <v>7.74</v>
      </c>
      <c r="AJ24">
        <f t="shared" ref="AJ24:AJ39" si="28">ROUND((AS24),2)</f>
        <v>0</v>
      </c>
      <c r="AK24">
        <v>1767.24</v>
      </c>
      <c r="AL24">
        <v>0</v>
      </c>
      <c r="AM24">
        <v>241.95</v>
      </c>
      <c r="AN24">
        <v>104.49</v>
      </c>
      <c r="AO24">
        <v>1525.29</v>
      </c>
      <c r="AP24">
        <v>0</v>
      </c>
      <c r="AQ24">
        <v>188.54</v>
      </c>
      <c r="AR24">
        <v>7.74</v>
      </c>
      <c r="AS24">
        <v>0</v>
      </c>
      <c r="AT24">
        <v>99</v>
      </c>
      <c r="AU24">
        <v>60</v>
      </c>
      <c r="AV24">
        <v>1</v>
      </c>
      <c r="AW24">
        <v>1</v>
      </c>
      <c r="AZ24">
        <v>6.38</v>
      </c>
      <c r="BA24">
        <v>6.38</v>
      </c>
      <c r="BB24">
        <v>6.38</v>
      </c>
      <c r="BC24">
        <v>6.38</v>
      </c>
      <c r="BD24" t="s">
        <v>6</v>
      </c>
      <c r="BE24" t="s">
        <v>6</v>
      </c>
      <c r="BF24" t="s">
        <v>6</v>
      </c>
      <c r="BG24" t="s">
        <v>6</v>
      </c>
      <c r="BH24">
        <v>0</v>
      </c>
      <c r="BI24">
        <v>1</v>
      </c>
      <c r="BJ24" t="s">
        <v>17</v>
      </c>
      <c r="BM24">
        <v>46001</v>
      </c>
      <c r="BN24">
        <v>0</v>
      </c>
      <c r="BO24" t="s">
        <v>6</v>
      </c>
      <c r="BP24">
        <v>0</v>
      </c>
      <c r="BQ24">
        <v>2</v>
      </c>
      <c r="BR24">
        <v>0</v>
      </c>
      <c r="BS24">
        <v>6.38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6</v>
      </c>
      <c r="BZ24">
        <v>110</v>
      </c>
      <c r="CA24">
        <v>70</v>
      </c>
      <c r="CF24">
        <v>0</v>
      </c>
      <c r="CG24">
        <v>0</v>
      </c>
      <c r="CM24">
        <v>0</v>
      </c>
      <c r="CN24" t="s">
        <v>6</v>
      </c>
      <c r="CO24">
        <v>0</v>
      </c>
      <c r="CP24">
        <f t="shared" ref="CP24:CP39" si="29">(P24+Q24+S24)</f>
        <v>14859.310000000001</v>
      </c>
      <c r="CQ24">
        <f t="shared" ref="CQ24:CQ39" si="30">AC24*BC24</f>
        <v>0</v>
      </c>
      <c r="CR24">
        <f t="shared" ref="CR24:CR39" si="31">AD24*BB24</f>
        <v>1543.6409999999998</v>
      </c>
      <c r="CS24">
        <f t="shared" ref="CS24:CS39" si="32">AE24*BS24</f>
        <v>666.64619999999991</v>
      </c>
      <c r="CT24">
        <f t="shared" ref="CT24:CT39" si="33">AF24*BA24</f>
        <v>9731.3501999999989</v>
      </c>
      <c r="CU24">
        <f t="shared" ref="CU24:CU39" si="34">AG24</f>
        <v>0</v>
      </c>
      <c r="CV24">
        <f t="shared" ref="CV24:CV39" si="35">AH24</f>
        <v>188.54</v>
      </c>
      <c r="CW24">
        <f t="shared" ref="CW24:CW39" si="36">AI24</f>
        <v>7.74</v>
      </c>
      <c r="CX24">
        <f t="shared" ref="CX24:CX39" si="37">AJ24</f>
        <v>0</v>
      </c>
      <c r="CY24">
        <f t="shared" ref="CY24:CY39" si="38">(((S24+R24)*AT24)/100)</f>
        <v>13566.4848</v>
      </c>
      <c r="CZ24">
        <f t="shared" ref="CZ24:CZ39" si="39">(((S24+R24)*AU24)/100)</f>
        <v>8222.112000000001</v>
      </c>
      <c r="DC24" t="s">
        <v>6</v>
      </c>
      <c r="DD24" t="s">
        <v>6</v>
      </c>
      <c r="DE24" t="s">
        <v>6</v>
      </c>
      <c r="DF24" t="s">
        <v>6</v>
      </c>
      <c r="DG24" t="s">
        <v>6</v>
      </c>
      <c r="DH24" t="s">
        <v>6</v>
      </c>
      <c r="DI24" t="s">
        <v>6</v>
      </c>
      <c r="DJ24" t="s">
        <v>6</v>
      </c>
      <c r="DK24" t="s">
        <v>6</v>
      </c>
      <c r="DL24" t="s">
        <v>6</v>
      </c>
      <c r="DM24" t="s">
        <v>6</v>
      </c>
      <c r="DN24">
        <v>0</v>
      </c>
      <c r="DO24">
        <v>0</v>
      </c>
      <c r="DP24">
        <v>1</v>
      </c>
      <c r="DQ24">
        <v>1</v>
      </c>
      <c r="DU24">
        <v>1005</v>
      </c>
      <c r="DV24" t="s">
        <v>16</v>
      </c>
      <c r="DW24" t="s">
        <v>16</v>
      </c>
      <c r="DX24">
        <v>100</v>
      </c>
      <c r="EE24">
        <v>16510555</v>
      </c>
      <c r="EF24">
        <v>2</v>
      </c>
      <c r="EG24" t="s">
        <v>18</v>
      </c>
      <c r="EH24">
        <v>0</v>
      </c>
      <c r="EI24" t="s">
        <v>6</v>
      </c>
      <c r="EJ24">
        <v>1</v>
      </c>
      <c r="EK24">
        <v>46001</v>
      </c>
      <c r="EL24" t="s">
        <v>19</v>
      </c>
      <c r="EM24" t="s">
        <v>20</v>
      </c>
      <c r="EO24" t="s">
        <v>6</v>
      </c>
      <c r="EQ24">
        <v>0</v>
      </c>
      <c r="ER24">
        <v>1767.24</v>
      </c>
      <c r="ES24">
        <v>0</v>
      </c>
      <c r="ET24">
        <v>241.95</v>
      </c>
      <c r="EU24">
        <v>104.49</v>
      </c>
      <c r="EV24">
        <v>1525.29</v>
      </c>
      <c r="EW24">
        <v>188.54</v>
      </c>
      <c r="EX24">
        <v>7.74</v>
      </c>
      <c r="EY24">
        <v>0</v>
      </c>
      <c r="FQ24">
        <v>0</v>
      </c>
      <c r="FR24">
        <f t="shared" ref="FR24:FR41" si="40">ROUND(IF(AND(BH24=3,BI24=3),P24,0),2)</f>
        <v>0</v>
      </c>
      <c r="FS24">
        <v>0</v>
      </c>
      <c r="FT24" t="s">
        <v>21</v>
      </c>
      <c r="FU24" t="s">
        <v>22</v>
      </c>
      <c r="FX24">
        <v>99</v>
      </c>
      <c r="FY24">
        <v>59.5</v>
      </c>
      <c r="GA24" t="s">
        <v>6</v>
      </c>
      <c r="GD24">
        <v>0</v>
      </c>
      <c r="GF24">
        <v>1630687704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41" si="41">ROUND(IF(AND(BH24=3,BI24=3,FS24&lt;&gt;0),P24,0),2)</f>
        <v>0</v>
      </c>
      <c r="GM24">
        <f t="shared" ref="GM24:GM39" si="42">ROUND(O24+X24+Y24+GK24,2)+GX24</f>
        <v>36647.9</v>
      </c>
      <c r="GN24">
        <f t="shared" ref="GN24:GN39" si="43">IF(OR(BI24=0,BI24=1),ROUND(O24+X24+Y24+GK24,2),0)</f>
        <v>36647.9</v>
      </c>
      <c r="GO24">
        <f t="shared" ref="GO24:GO39" si="44">IF(BI24=2,ROUND(O24+X24+Y24+GK24,2),0)</f>
        <v>0</v>
      </c>
      <c r="GP24">
        <f t="shared" ref="GP24:GP39" si="45">IF(BI24=4,ROUND(O24+X24+Y24+GK24,2)+GX24,0)</f>
        <v>0</v>
      </c>
      <c r="GR24">
        <v>0</v>
      </c>
      <c r="GS24">
        <v>3</v>
      </c>
      <c r="GT24">
        <v>0</v>
      </c>
      <c r="GU24" t="s">
        <v>6</v>
      </c>
      <c r="GV24">
        <f t="shared" ref="GV24:GV39" si="46">ROUND(GT24,2)</f>
        <v>0</v>
      </c>
      <c r="GW24">
        <v>1</v>
      </c>
      <c r="GX24">
        <f t="shared" ref="GX24:GX41" si="47"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17</v>
      </c>
      <c r="B25">
        <v>1</v>
      </c>
      <c r="C25">
        <f>ROW(SmtRes!A14)</f>
        <v>14</v>
      </c>
      <c r="D25">
        <f>ROW(EtalonRes!A14)</f>
        <v>14</v>
      </c>
      <c r="E25" t="s">
        <v>23</v>
      </c>
      <c r="F25" t="s">
        <v>24</v>
      </c>
      <c r="G25" t="s">
        <v>25</v>
      </c>
      <c r="H25" t="s">
        <v>16</v>
      </c>
      <c r="I25">
        <f>ROUND(131.79/100,9)</f>
        <v>1.3179000000000001</v>
      </c>
      <c r="J25">
        <v>0</v>
      </c>
      <c r="O25">
        <f t="shared" si="14"/>
        <v>87169.85</v>
      </c>
      <c r="P25">
        <f t="shared" si="15"/>
        <v>71881.89</v>
      </c>
      <c r="Q25">
        <f t="shared" si="16"/>
        <v>2682.3</v>
      </c>
      <c r="R25">
        <f t="shared" si="17"/>
        <v>528.88</v>
      </c>
      <c r="S25">
        <f t="shared" si="18"/>
        <v>12605.66</v>
      </c>
      <c r="T25">
        <f t="shared" si="19"/>
        <v>0</v>
      </c>
      <c r="U25">
        <f t="shared" si="20"/>
        <v>226.0646586</v>
      </c>
      <c r="V25">
        <f t="shared" si="21"/>
        <v>6.9683962500000014</v>
      </c>
      <c r="W25">
        <f t="shared" si="22"/>
        <v>0</v>
      </c>
      <c r="X25">
        <f t="shared" si="23"/>
        <v>13922.61</v>
      </c>
      <c r="Y25">
        <f t="shared" si="24"/>
        <v>7092.65</v>
      </c>
      <c r="AA25">
        <v>16628881</v>
      </c>
      <c r="AB25">
        <f t="shared" si="25"/>
        <v>10367.24</v>
      </c>
      <c r="AC25">
        <f t="shared" si="26"/>
        <v>8549.02</v>
      </c>
      <c r="AD25">
        <f>ROUND(((((ET25*1.25))-((EU25*1.25)))+AE25),2)</f>
        <v>319.01</v>
      </c>
      <c r="AE25">
        <f>ROUND(((EU25*1.25)),2)</f>
        <v>62.9</v>
      </c>
      <c r="AF25">
        <f>ROUND(((EV25*1.15)),2)</f>
        <v>1499.21</v>
      </c>
      <c r="AG25">
        <f t="shared" si="27"/>
        <v>0</v>
      </c>
      <c r="AH25">
        <f>((EW25*1.15))</f>
        <v>171.53399999999999</v>
      </c>
      <c r="AI25">
        <f>((EX25*1.25))</f>
        <v>5.2875000000000005</v>
      </c>
      <c r="AJ25">
        <f t="shared" si="28"/>
        <v>0</v>
      </c>
      <c r="AK25">
        <v>10107.89</v>
      </c>
      <c r="AL25">
        <v>8549.02</v>
      </c>
      <c r="AM25">
        <v>255.21</v>
      </c>
      <c r="AN25">
        <v>50.32</v>
      </c>
      <c r="AO25">
        <v>1303.6600000000001</v>
      </c>
      <c r="AP25">
        <v>0</v>
      </c>
      <c r="AQ25">
        <v>149.16</v>
      </c>
      <c r="AR25">
        <v>4.2300000000000004</v>
      </c>
      <c r="AS25">
        <v>0</v>
      </c>
      <c r="AT25">
        <v>106</v>
      </c>
      <c r="AU25">
        <v>54</v>
      </c>
      <c r="AV25">
        <v>1</v>
      </c>
      <c r="AW25">
        <v>1</v>
      </c>
      <c r="AZ25">
        <v>6.38</v>
      </c>
      <c r="BA25">
        <v>6.38</v>
      </c>
      <c r="BB25">
        <v>6.38</v>
      </c>
      <c r="BC25">
        <v>6.38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26</v>
      </c>
      <c r="BM25">
        <v>10001</v>
      </c>
      <c r="BN25">
        <v>0</v>
      </c>
      <c r="BO25" t="s">
        <v>6</v>
      </c>
      <c r="BP25">
        <v>0</v>
      </c>
      <c r="BQ25">
        <v>2</v>
      </c>
      <c r="BR25">
        <v>0</v>
      </c>
      <c r="BS25">
        <v>6.38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118</v>
      </c>
      <c r="CA25">
        <v>63</v>
      </c>
      <c r="CF25">
        <v>0</v>
      </c>
      <c r="CG25">
        <v>0</v>
      </c>
      <c r="CM25">
        <v>0</v>
      </c>
      <c r="CN25" t="s">
        <v>293</v>
      </c>
      <c r="CO25">
        <v>0</v>
      </c>
      <c r="CP25">
        <f t="shared" si="29"/>
        <v>87169.85</v>
      </c>
      <c r="CQ25">
        <f t="shared" si="30"/>
        <v>54542.747600000002</v>
      </c>
      <c r="CR25">
        <f t="shared" si="31"/>
        <v>2035.2837999999999</v>
      </c>
      <c r="CS25">
        <f t="shared" si="32"/>
        <v>401.30199999999996</v>
      </c>
      <c r="CT25">
        <f t="shared" si="33"/>
        <v>9564.9598000000005</v>
      </c>
      <c r="CU25">
        <f t="shared" si="34"/>
        <v>0</v>
      </c>
      <c r="CV25">
        <f t="shared" si="35"/>
        <v>171.53399999999999</v>
      </c>
      <c r="CW25">
        <f t="shared" si="36"/>
        <v>5.2875000000000005</v>
      </c>
      <c r="CX25">
        <f t="shared" si="37"/>
        <v>0</v>
      </c>
      <c r="CY25">
        <f t="shared" si="38"/>
        <v>13922.6124</v>
      </c>
      <c r="CZ25">
        <f t="shared" si="39"/>
        <v>7092.6515999999992</v>
      </c>
      <c r="DC25" t="s">
        <v>6</v>
      </c>
      <c r="DD25" t="s">
        <v>6</v>
      </c>
      <c r="DE25" t="s">
        <v>27</v>
      </c>
      <c r="DF25" t="s">
        <v>27</v>
      </c>
      <c r="DG25" t="s">
        <v>28</v>
      </c>
      <c r="DH25" t="s">
        <v>6</v>
      </c>
      <c r="DI25" t="s">
        <v>28</v>
      </c>
      <c r="DJ25" t="s">
        <v>27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16</v>
      </c>
      <c r="DW25" t="s">
        <v>16</v>
      </c>
      <c r="DX25">
        <v>100</v>
      </c>
      <c r="EE25">
        <v>16510487</v>
      </c>
      <c r="EF25">
        <v>2</v>
      </c>
      <c r="EG25" t="s">
        <v>18</v>
      </c>
      <c r="EH25">
        <v>0</v>
      </c>
      <c r="EI25" t="s">
        <v>6</v>
      </c>
      <c r="EJ25">
        <v>1</v>
      </c>
      <c r="EK25">
        <v>10001</v>
      </c>
      <c r="EL25" t="s">
        <v>29</v>
      </c>
      <c r="EM25" t="s">
        <v>30</v>
      </c>
      <c r="EO25" t="s">
        <v>31</v>
      </c>
      <c r="EQ25">
        <v>131072</v>
      </c>
      <c r="ER25">
        <v>10107.89</v>
      </c>
      <c r="ES25">
        <v>8549.02</v>
      </c>
      <c r="ET25">
        <v>255.21</v>
      </c>
      <c r="EU25">
        <v>50.32</v>
      </c>
      <c r="EV25">
        <v>1303.6600000000001</v>
      </c>
      <c r="EW25">
        <v>149.16</v>
      </c>
      <c r="EX25">
        <v>4.2300000000000004</v>
      </c>
      <c r="EY25">
        <v>0</v>
      </c>
      <c r="FQ25">
        <v>0</v>
      </c>
      <c r="FR25">
        <f t="shared" si="40"/>
        <v>0</v>
      </c>
      <c r="FS25">
        <v>0</v>
      </c>
      <c r="FT25" t="s">
        <v>21</v>
      </c>
      <c r="FU25" t="s">
        <v>22</v>
      </c>
      <c r="FX25">
        <v>106.2</v>
      </c>
      <c r="FY25">
        <v>53.55</v>
      </c>
      <c r="GA25" t="s">
        <v>6</v>
      </c>
      <c r="GD25">
        <v>0</v>
      </c>
      <c r="GF25">
        <v>-330529066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1"/>
        <v>0</v>
      </c>
      <c r="GM25">
        <f t="shared" si="42"/>
        <v>108185.11</v>
      </c>
      <c r="GN25">
        <f t="shared" si="43"/>
        <v>108185.11</v>
      </c>
      <c r="GO25">
        <f t="shared" si="44"/>
        <v>0</v>
      </c>
      <c r="GP25">
        <f t="shared" si="45"/>
        <v>0</v>
      </c>
      <c r="GR25">
        <v>0</v>
      </c>
      <c r="GS25">
        <v>3</v>
      </c>
      <c r="GT25">
        <v>0</v>
      </c>
      <c r="GU25" t="s">
        <v>6</v>
      </c>
      <c r="GV25">
        <f t="shared" si="46"/>
        <v>0</v>
      </c>
      <c r="GW25">
        <v>1</v>
      </c>
      <c r="GX25">
        <f t="shared" si="47"/>
        <v>0</v>
      </c>
      <c r="HA25">
        <v>0</v>
      </c>
      <c r="HB25">
        <v>0</v>
      </c>
      <c r="IK25">
        <v>0</v>
      </c>
    </row>
    <row r="26" spans="1:245" x14ac:dyDescent="0.2">
      <c r="A26">
        <v>18</v>
      </c>
      <c r="B26">
        <v>1</v>
      </c>
      <c r="C26">
        <v>14</v>
      </c>
      <c r="E26" t="s">
        <v>32</v>
      </c>
      <c r="F26" t="s">
        <v>33</v>
      </c>
      <c r="G26" t="s">
        <v>34</v>
      </c>
      <c r="H26" t="s">
        <v>35</v>
      </c>
      <c r="I26">
        <f>I25*J26</f>
        <v>131.79</v>
      </c>
      <c r="J26">
        <v>99.999999999999986</v>
      </c>
      <c r="O26">
        <f t="shared" si="14"/>
        <v>437033.12</v>
      </c>
      <c r="P26">
        <f t="shared" si="15"/>
        <v>437033.12</v>
      </c>
      <c r="Q26">
        <f t="shared" si="16"/>
        <v>0</v>
      </c>
      <c r="R26">
        <f t="shared" si="17"/>
        <v>0</v>
      </c>
      <c r="S26">
        <f t="shared" si="18"/>
        <v>0</v>
      </c>
      <c r="T26">
        <f t="shared" si="19"/>
        <v>0</v>
      </c>
      <c r="U26">
        <f t="shared" si="20"/>
        <v>0</v>
      </c>
      <c r="V26">
        <f t="shared" si="21"/>
        <v>0</v>
      </c>
      <c r="W26">
        <f t="shared" si="22"/>
        <v>0</v>
      </c>
      <c r="X26">
        <f t="shared" si="23"/>
        <v>0</v>
      </c>
      <c r="Y26">
        <f t="shared" si="24"/>
        <v>0</v>
      </c>
      <c r="AA26">
        <v>16628881</v>
      </c>
      <c r="AB26">
        <f t="shared" si="25"/>
        <v>519.77</v>
      </c>
      <c r="AC26">
        <f t="shared" si="26"/>
        <v>519.77</v>
      </c>
      <c r="AD26">
        <f>ROUND((((ET26)-(EU26))+AE26),2)</f>
        <v>0</v>
      </c>
      <c r="AE26">
        <f>ROUND((EU26),2)</f>
        <v>0</v>
      </c>
      <c r="AF26">
        <f>ROUND((EV26),2)</f>
        <v>0</v>
      </c>
      <c r="AG26">
        <f t="shared" si="27"/>
        <v>0</v>
      </c>
      <c r="AH26">
        <f>(EW26)</f>
        <v>0</v>
      </c>
      <c r="AI26">
        <f>(EX26)</f>
        <v>0</v>
      </c>
      <c r="AJ26">
        <f t="shared" si="28"/>
        <v>0</v>
      </c>
      <c r="AK26">
        <v>519.77</v>
      </c>
      <c r="AL26">
        <v>519.77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106</v>
      </c>
      <c r="AU26">
        <v>54</v>
      </c>
      <c r="AV26">
        <v>1</v>
      </c>
      <c r="AW26">
        <v>1</v>
      </c>
      <c r="AZ26">
        <v>6.38</v>
      </c>
      <c r="BA26">
        <v>1</v>
      </c>
      <c r="BB26">
        <v>1</v>
      </c>
      <c r="BC26">
        <v>6.38</v>
      </c>
      <c r="BD26" t="s">
        <v>6</v>
      </c>
      <c r="BE26" t="s">
        <v>6</v>
      </c>
      <c r="BF26" t="s">
        <v>6</v>
      </c>
      <c r="BG26" t="s">
        <v>6</v>
      </c>
      <c r="BH26">
        <v>3</v>
      </c>
      <c r="BI26">
        <v>1</v>
      </c>
      <c r="BJ26" t="s">
        <v>6</v>
      </c>
      <c r="BM26">
        <v>10001</v>
      </c>
      <c r="BN26">
        <v>0</v>
      </c>
      <c r="BO26" t="s">
        <v>6</v>
      </c>
      <c r="BP26">
        <v>0</v>
      </c>
      <c r="BQ26">
        <v>2</v>
      </c>
      <c r="BR26">
        <v>0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6</v>
      </c>
      <c r="BZ26">
        <v>118</v>
      </c>
      <c r="CA26">
        <v>63</v>
      </c>
      <c r="CF26">
        <v>0</v>
      </c>
      <c r="CG26">
        <v>0</v>
      </c>
      <c r="CM26">
        <v>0</v>
      </c>
      <c r="CN26" t="s">
        <v>6</v>
      </c>
      <c r="CO26">
        <v>0</v>
      </c>
      <c r="CP26">
        <f t="shared" si="29"/>
        <v>437033.12</v>
      </c>
      <c r="CQ26">
        <f t="shared" si="30"/>
        <v>3316.1325999999999</v>
      </c>
      <c r="CR26">
        <f t="shared" si="31"/>
        <v>0</v>
      </c>
      <c r="CS26">
        <f t="shared" si="32"/>
        <v>0</v>
      </c>
      <c r="CT26">
        <f t="shared" si="33"/>
        <v>0</v>
      </c>
      <c r="CU26">
        <f t="shared" si="34"/>
        <v>0</v>
      </c>
      <c r="CV26">
        <f t="shared" si="35"/>
        <v>0</v>
      </c>
      <c r="CW26">
        <f t="shared" si="36"/>
        <v>0</v>
      </c>
      <c r="CX26">
        <f t="shared" si="37"/>
        <v>0</v>
      </c>
      <c r="CY26">
        <f t="shared" si="38"/>
        <v>0</v>
      </c>
      <c r="CZ26">
        <f t="shared" si="39"/>
        <v>0</v>
      </c>
      <c r="DC26" t="s">
        <v>6</v>
      </c>
      <c r="DD26" t="s">
        <v>6</v>
      </c>
      <c r="DE26" t="s">
        <v>6</v>
      </c>
      <c r="DF26" t="s">
        <v>6</v>
      </c>
      <c r="DG26" t="s">
        <v>6</v>
      </c>
      <c r="DH26" t="s">
        <v>6</v>
      </c>
      <c r="DI26" t="s">
        <v>6</v>
      </c>
      <c r="DJ26" t="s">
        <v>6</v>
      </c>
      <c r="DK26" t="s">
        <v>6</v>
      </c>
      <c r="DL26" t="s">
        <v>6</v>
      </c>
      <c r="DM26" t="s">
        <v>6</v>
      </c>
      <c r="DN26">
        <v>0</v>
      </c>
      <c r="DO26">
        <v>0</v>
      </c>
      <c r="DP26">
        <v>1</v>
      </c>
      <c r="DQ26">
        <v>1</v>
      </c>
      <c r="DU26">
        <v>1005</v>
      </c>
      <c r="DV26" t="s">
        <v>35</v>
      </c>
      <c r="DW26" t="s">
        <v>35</v>
      </c>
      <c r="DX26">
        <v>1</v>
      </c>
      <c r="EE26">
        <v>16510487</v>
      </c>
      <c r="EF26">
        <v>2</v>
      </c>
      <c r="EG26" t="s">
        <v>18</v>
      </c>
      <c r="EH26">
        <v>0</v>
      </c>
      <c r="EI26" t="s">
        <v>6</v>
      </c>
      <c r="EJ26">
        <v>1</v>
      </c>
      <c r="EK26">
        <v>10001</v>
      </c>
      <c r="EL26" t="s">
        <v>29</v>
      </c>
      <c r="EM26" t="s">
        <v>30</v>
      </c>
      <c r="EO26" t="s">
        <v>6</v>
      </c>
      <c r="EQ26">
        <v>0</v>
      </c>
      <c r="ER26">
        <v>519.77</v>
      </c>
      <c r="ES26">
        <v>519.77</v>
      </c>
      <c r="ET26">
        <v>0</v>
      </c>
      <c r="EU26">
        <v>0</v>
      </c>
      <c r="EV26">
        <v>0</v>
      </c>
      <c r="EW26">
        <v>0</v>
      </c>
      <c r="EX26">
        <v>0</v>
      </c>
      <c r="EZ26">
        <v>5</v>
      </c>
      <c r="FC26">
        <v>1</v>
      </c>
      <c r="FD26">
        <v>18</v>
      </c>
      <c r="FF26">
        <v>3913</v>
      </c>
      <c r="FQ26">
        <v>0</v>
      </c>
      <c r="FR26">
        <f t="shared" si="40"/>
        <v>0</v>
      </c>
      <c r="FS26">
        <v>0</v>
      </c>
      <c r="FT26" t="s">
        <v>21</v>
      </c>
      <c r="FU26" t="s">
        <v>22</v>
      </c>
      <c r="FX26">
        <v>106.2</v>
      </c>
      <c r="FY26">
        <v>53.55</v>
      </c>
      <c r="GA26" t="s">
        <v>36</v>
      </c>
      <c r="GD26">
        <v>0</v>
      </c>
      <c r="GF26">
        <v>1285733230</v>
      </c>
      <c r="GG26">
        <v>1</v>
      </c>
      <c r="GH26">
        <v>3</v>
      </c>
      <c r="GI26">
        <v>4</v>
      </c>
      <c r="GJ26">
        <v>0</v>
      </c>
      <c r="GK26">
        <f>ROUND(R26*(R12)/100,2)</f>
        <v>0</v>
      </c>
      <c r="GL26">
        <f t="shared" si="41"/>
        <v>0</v>
      </c>
      <c r="GM26">
        <f t="shared" si="42"/>
        <v>437033.12</v>
      </c>
      <c r="GN26">
        <f t="shared" si="43"/>
        <v>437033.12</v>
      </c>
      <c r="GO26">
        <f t="shared" si="44"/>
        <v>0</v>
      </c>
      <c r="GP26">
        <f t="shared" si="45"/>
        <v>0</v>
      </c>
      <c r="GR26">
        <v>1</v>
      </c>
      <c r="GS26">
        <v>1</v>
      </c>
      <c r="GT26">
        <v>0</v>
      </c>
      <c r="GU26" t="s">
        <v>6</v>
      </c>
      <c r="GV26">
        <f t="shared" si="46"/>
        <v>0</v>
      </c>
      <c r="GW26">
        <v>1</v>
      </c>
      <c r="GX26">
        <f t="shared" si="47"/>
        <v>0</v>
      </c>
      <c r="HA26">
        <v>0</v>
      </c>
      <c r="HB26">
        <v>0</v>
      </c>
      <c r="IK26">
        <v>0</v>
      </c>
    </row>
    <row r="27" spans="1:245" x14ac:dyDescent="0.2">
      <c r="A27">
        <v>17</v>
      </c>
      <c r="B27">
        <v>1</v>
      </c>
      <c r="C27">
        <f>ROW(SmtRes!A22)</f>
        <v>22</v>
      </c>
      <c r="D27">
        <f>ROW(EtalonRes!A21)</f>
        <v>21</v>
      </c>
      <c r="E27" t="s">
        <v>37</v>
      </c>
      <c r="F27" t="s">
        <v>38</v>
      </c>
      <c r="G27" t="s">
        <v>39</v>
      </c>
      <c r="H27" t="s">
        <v>16</v>
      </c>
      <c r="I27">
        <f>ROUND(11.96/100,9)</f>
        <v>0.1196</v>
      </c>
      <c r="J27">
        <v>0</v>
      </c>
      <c r="O27">
        <f t="shared" si="14"/>
        <v>7648.76</v>
      </c>
      <c r="P27">
        <f t="shared" si="15"/>
        <v>6783.94</v>
      </c>
      <c r="Q27">
        <f t="shared" si="16"/>
        <v>20.87</v>
      </c>
      <c r="R27">
        <f t="shared" si="17"/>
        <v>3.35</v>
      </c>
      <c r="S27">
        <f t="shared" si="18"/>
        <v>843.95</v>
      </c>
      <c r="T27">
        <f t="shared" si="19"/>
        <v>0</v>
      </c>
      <c r="U27">
        <f t="shared" si="20"/>
        <v>15.507634999999999</v>
      </c>
      <c r="V27">
        <f t="shared" si="21"/>
        <v>4.0365000000000005E-2</v>
      </c>
      <c r="W27">
        <f t="shared" si="22"/>
        <v>0</v>
      </c>
      <c r="X27">
        <f t="shared" si="23"/>
        <v>915.08</v>
      </c>
      <c r="Y27">
        <f t="shared" si="24"/>
        <v>466.02</v>
      </c>
      <c r="AA27">
        <v>16628881</v>
      </c>
      <c r="AB27">
        <f t="shared" si="25"/>
        <v>10023.950000000001</v>
      </c>
      <c r="AC27">
        <f t="shared" si="26"/>
        <v>8890.58</v>
      </c>
      <c r="AD27">
        <f>ROUND(((((ET27*1.25))-((EU27*1.25)))+AE27),2)</f>
        <v>27.35</v>
      </c>
      <c r="AE27">
        <f>ROUND(((EU27*1.25)),2)</f>
        <v>4.3899999999999997</v>
      </c>
      <c r="AF27">
        <f>ROUND(((EV27*1.15)),2)</f>
        <v>1106.02</v>
      </c>
      <c r="AG27">
        <f t="shared" si="27"/>
        <v>0</v>
      </c>
      <c r="AH27">
        <f>((EW27*1.15))</f>
        <v>129.66249999999999</v>
      </c>
      <c r="AI27">
        <f>((EX27*1.25))</f>
        <v>0.33750000000000002</v>
      </c>
      <c r="AJ27">
        <f t="shared" si="28"/>
        <v>0</v>
      </c>
      <c r="AK27">
        <v>9874.2199999999993</v>
      </c>
      <c r="AL27">
        <v>8890.58</v>
      </c>
      <c r="AM27">
        <v>21.88</v>
      </c>
      <c r="AN27">
        <v>3.51</v>
      </c>
      <c r="AO27">
        <v>961.76</v>
      </c>
      <c r="AP27">
        <v>0</v>
      </c>
      <c r="AQ27">
        <v>112.75</v>
      </c>
      <c r="AR27">
        <v>0.27</v>
      </c>
      <c r="AS27">
        <v>0</v>
      </c>
      <c r="AT27">
        <v>108</v>
      </c>
      <c r="AU27">
        <v>55</v>
      </c>
      <c r="AV27">
        <v>1</v>
      </c>
      <c r="AW27">
        <v>1</v>
      </c>
      <c r="AZ27">
        <v>6.38</v>
      </c>
      <c r="BA27">
        <v>6.38</v>
      </c>
      <c r="BB27">
        <v>6.38</v>
      </c>
      <c r="BC27">
        <v>6.38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40</v>
      </c>
      <c r="BM27">
        <v>12001</v>
      </c>
      <c r="BN27">
        <v>0</v>
      </c>
      <c r="BO27" t="s">
        <v>6</v>
      </c>
      <c r="BP27">
        <v>0</v>
      </c>
      <c r="BQ27">
        <v>2</v>
      </c>
      <c r="BR27">
        <v>0</v>
      </c>
      <c r="BS27">
        <v>6.38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120</v>
      </c>
      <c r="CA27">
        <v>65</v>
      </c>
      <c r="CF27">
        <v>0</v>
      </c>
      <c r="CG27">
        <v>0</v>
      </c>
      <c r="CM27">
        <v>0</v>
      </c>
      <c r="CN27" t="s">
        <v>293</v>
      </c>
      <c r="CO27">
        <v>0</v>
      </c>
      <c r="CP27">
        <f t="shared" si="29"/>
        <v>7648.7599999999993</v>
      </c>
      <c r="CQ27">
        <f t="shared" si="30"/>
        <v>56721.900399999999</v>
      </c>
      <c r="CR27">
        <f t="shared" si="31"/>
        <v>174.49299999999999</v>
      </c>
      <c r="CS27">
        <f t="shared" si="32"/>
        <v>28.008199999999999</v>
      </c>
      <c r="CT27">
        <f t="shared" si="33"/>
        <v>7056.4075999999995</v>
      </c>
      <c r="CU27">
        <f t="shared" si="34"/>
        <v>0</v>
      </c>
      <c r="CV27">
        <f t="shared" si="35"/>
        <v>129.66249999999999</v>
      </c>
      <c r="CW27">
        <f t="shared" si="36"/>
        <v>0.33750000000000002</v>
      </c>
      <c r="CX27">
        <f t="shared" si="37"/>
        <v>0</v>
      </c>
      <c r="CY27">
        <f t="shared" si="38"/>
        <v>915.08400000000006</v>
      </c>
      <c r="CZ27">
        <f t="shared" si="39"/>
        <v>466.0150000000001</v>
      </c>
      <c r="DC27" t="s">
        <v>6</v>
      </c>
      <c r="DD27" t="s">
        <v>6</v>
      </c>
      <c r="DE27" t="s">
        <v>27</v>
      </c>
      <c r="DF27" t="s">
        <v>27</v>
      </c>
      <c r="DG27" t="s">
        <v>28</v>
      </c>
      <c r="DH27" t="s">
        <v>6</v>
      </c>
      <c r="DI27" t="s">
        <v>28</v>
      </c>
      <c r="DJ27" t="s">
        <v>27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16</v>
      </c>
      <c r="DW27" t="s">
        <v>16</v>
      </c>
      <c r="DX27">
        <v>100</v>
      </c>
      <c r="EE27">
        <v>16510489</v>
      </c>
      <c r="EF27">
        <v>2</v>
      </c>
      <c r="EG27" t="s">
        <v>18</v>
      </c>
      <c r="EH27">
        <v>0</v>
      </c>
      <c r="EI27" t="s">
        <v>6</v>
      </c>
      <c r="EJ27">
        <v>1</v>
      </c>
      <c r="EK27">
        <v>12001</v>
      </c>
      <c r="EL27" t="s">
        <v>41</v>
      </c>
      <c r="EM27" t="s">
        <v>42</v>
      </c>
      <c r="EO27" t="s">
        <v>31</v>
      </c>
      <c r="EQ27">
        <v>131072</v>
      </c>
      <c r="ER27">
        <v>9874.2199999999993</v>
      </c>
      <c r="ES27">
        <v>8890.58</v>
      </c>
      <c r="ET27">
        <v>21.88</v>
      </c>
      <c r="EU27">
        <v>3.51</v>
      </c>
      <c r="EV27">
        <v>961.76</v>
      </c>
      <c r="EW27">
        <v>112.75</v>
      </c>
      <c r="EX27">
        <v>0.27</v>
      </c>
      <c r="EY27">
        <v>0</v>
      </c>
      <c r="FQ27">
        <v>0</v>
      </c>
      <c r="FR27">
        <f t="shared" si="40"/>
        <v>0</v>
      </c>
      <c r="FS27">
        <v>0</v>
      </c>
      <c r="FT27" t="s">
        <v>21</v>
      </c>
      <c r="FU27" t="s">
        <v>22</v>
      </c>
      <c r="FX27">
        <v>108</v>
      </c>
      <c r="FY27">
        <v>55.25</v>
      </c>
      <c r="GA27" t="s">
        <v>6</v>
      </c>
      <c r="GD27">
        <v>0</v>
      </c>
      <c r="GF27">
        <v>-1197977700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 t="shared" si="41"/>
        <v>0</v>
      </c>
      <c r="GM27">
        <f t="shared" si="42"/>
        <v>9029.86</v>
      </c>
      <c r="GN27">
        <f t="shared" si="43"/>
        <v>9029.86</v>
      </c>
      <c r="GO27">
        <f t="shared" si="44"/>
        <v>0</v>
      </c>
      <c r="GP27">
        <f t="shared" si="45"/>
        <v>0</v>
      </c>
      <c r="GR27">
        <v>0</v>
      </c>
      <c r="GS27">
        <v>3</v>
      </c>
      <c r="GT27">
        <v>0</v>
      </c>
      <c r="GU27" t="s">
        <v>6</v>
      </c>
      <c r="GV27">
        <f t="shared" si="46"/>
        <v>0</v>
      </c>
      <c r="GW27">
        <v>1</v>
      </c>
      <c r="GX27">
        <f t="shared" si="47"/>
        <v>0</v>
      </c>
      <c r="HA27">
        <v>0</v>
      </c>
      <c r="HB27">
        <v>0</v>
      </c>
      <c r="IK27">
        <v>0</v>
      </c>
    </row>
    <row r="28" spans="1:245" x14ac:dyDescent="0.2">
      <c r="A28">
        <v>18</v>
      </c>
      <c r="B28">
        <v>1</v>
      </c>
      <c r="C28">
        <v>22</v>
      </c>
      <c r="E28" t="s">
        <v>43</v>
      </c>
      <c r="F28" t="s">
        <v>33</v>
      </c>
      <c r="G28" t="s">
        <v>44</v>
      </c>
      <c r="H28" t="s">
        <v>45</v>
      </c>
      <c r="I28">
        <f>I27*J28</f>
        <v>59.8</v>
      </c>
      <c r="J28">
        <v>500</v>
      </c>
      <c r="O28">
        <f t="shared" si="14"/>
        <v>7569.44</v>
      </c>
      <c r="P28">
        <f t="shared" si="15"/>
        <v>7569.44</v>
      </c>
      <c r="Q28">
        <f t="shared" si="16"/>
        <v>0</v>
      </c>
      <c r="R28">
        <f t="shared" si="17"/>
        <v>0</v>
      </c>
      <c r="S28">
        <f t="shared" si="18"/>
        <v>0</v>
      </c>
      <c r="T28">
        <f t="shared" si="19"/>
        <v>0</v>
      </c>
      <c r="U28">
        <f t="shared" si="20"/>
        <v>0</v>
      </c>
      <c r="V28">
        <f t="shared" si="21"/>
        <v>0</v>
      </c>
      <c r="W28">
        <f t="shared" si="22"/>
        <v>0</v>
      </c>
      <c r="X28">
        <f t="shared" si="23"/>
        <v>0</v>
      </c>
      <c r="Y28">
        <f t="shared" si="24"/>
        <v>0</v>
      </c>
      <c r="AA28">
        <v>16628881</v>
      </c>
      <c r="AB28">
        <f t="shared" si="25"/>
        <v>19.84</v>
      </c>
      <c r="AC28">
        <f t="shared" si="26"/>
        <v>19.84</v>
      </c>
      <c r="AD28">
        <f>ROUND((((ET28)-(EU28))+AE28),2)</f>
        <v>0</v>
      </c>
      <c r="AE28">
        <f>ROUND((EU28),2)</f>
        <v>0</v>
      </c>
      <c r="AF28">
        <f>ROUND((EV28),2)</f>
        <v>0</v>
      </c>
      <c r="AG28">
        <f t="shared" si="27"/>
        <v>0</v>
      </c>
      <c r="AH28">
        <f>(EW28)</f>
        <v>0</v>
      </c>
      <c r="AI28">
        <f>(EX28)</f>
        <v>0</v>
      </c>
      <c r="AJ28">
        <f t="shared" si="28"/>
        <v>0</v>
      </c>
      <c r="AK28">
        <v>19.84</v>
      </c>
      <c r="AL28">
        <v>19.84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108</v>
      </c>
      <c r="AU28">
        <v>55</v>
      </c>
      <c r="AV28">
        <v>1</v>
      </c>
      <c r="AW28">
        <v>1</v>
      </c>
      <c r="AZ28">
        <v>6.38</v>
      </c>
      <c r="BA28">
        <v>1</v>
      </c>
      <c r="BB28">
        <v>1</v>
      </c>
      <c r="BC28">
        <v>6.38</v>
      </c>
      <c r="BD28" t="s">
        <v>6</v>
      </c>
      <c r="BE28" t="s">
        <v>6</v>
      </c>
      <c r="BF28" t="s">
        <v>6</v>
      </c>
      <c r="BG28" t="s">
        <v>6</v>
      </c>
      <c r="BH28">
        <v>3</v>
      </c>
      <c r="BI28">
        <v>1</v>
      </c>
      <c r="BJ28" t="s">
        <v>6</v>
      </c>
      <c r="BM28">
        <v>12001</v>
      </c>
      <c r="BN28">
        <v>0</v>
      </c>
      <c r="BO28" t="s">
        <v>6</v>
      </c>
      <c r="BP28">
        <v>0</v>
      </c>
      <c r="BQ28">
        <v>2</v>
      </c>
      <c r="BR28">
        <v>0</v>
      </c>
      <c r="BS28">
        <v>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6</v>
      </c>
      <c r="BZ28">
        <v>120</v>
      </c>
      <c r="CA28">
        <v>65</v>
      </c>
      <c r="CF28">
        <v>0</v>
      </c>
      <c r="CG28">
        <v>0</v>
      </c>
      <c r="CM28">
        <v>0</v>
      </c>
      <c r="CN28" t="s">
        <v>6</v>
      </c>
      <c r="CO28">
        <v>0</v>
      </c>
      <c r="CP28">
        <f t="shared" si="29"/>
        <v>7569.44</v>
      </c>
      <c r="CQ28">
        <f t="shared" si="30"/>
        <v>126.5792</v>
      </c>
      <c r="CR28">
        <f t="shared" si="31"/>
        <v>0</v>
      </c>
      <c r="CS28">
        <f t="shared" si="32"/>
        <v>0</v>
      </c>
      <c r="CT28">
        <f t="shared" si="33"/>
        <v>0</v>
      </c>
      <c r="CU28">
        <f t="shared" si="34"/>
        <v>0</v>
      </c>
      <c r="CV28">
        <f t="shared" si="35"/>
        <v>0</v>
      </c>
      <c r="CW28">
        <f t="shared" si="36"/>
        <v>0</v>
      </c>
      <c r="CX28">
        <f t="shared" si="37"/>
        <v>0</v>
      </c>
      <c r="CY28">
        <f t="shared" si="38"/>
        <v>0</v>
      </c>
      <c r="CZ28">
        <f t="shared" si="39"/>
        <v>0</v>
      </c>
      <c r="DC28" t="s">
        <v>6</v>
      </c>
      <c r="DD28" t="s">
        <v>6</v>
      </c>
      <c r="DE28" t="s">
        <v>6</v>
      </c>
      <c r="DF28" t="s">
        <v>6</v>
      </c>
      <c r="DG28" t="s">
        <v>6</v>
      </c>
      <c r="DH28" t="s">
        <v>6</v>
      </c>
      <c r="DI28" t="s">
        <v>6</v>
      </c>
      <c r="DJ28" t="s">
        <v>6</v>
      </c>
      <c r="DK28" t="s">
        <v>6</v>
      </c>
      <c r="DL28" t="s">
        <v>6</v>
      </c>
      <c r="DM28" t="s">
        <v>6</v>
      </c>
      <c r="DN28">
        <v>0</v>
      </c>
      <c r="DO28">
        <v>0</v>
      </c>
      <c r="DP28">
        <v>1</v>
      </c>
      <c r="DQ28">
        <v>1</v>
      </c>
      <c r="DU28">
        <v>1003</v>
      </c>
      <c r="DV28" t="s">
        <v>45</v>
      </c>
      <c r="DW28" t="s">
        <v>45</v>
      </c>
      <c r="DX28">
        <v>1</v>
      </c>
      <c r="EE28">
        <v>16510489</v>
      </c>
      <c r="EF28">
        <v>2</v>
      </c>
      <c r="EG28" t="s">
        <v>18</v>
      </c>
      <c r="EH28">
        <v>0</v>
      </c>
      <c r="EI28" t="s">
        <v>6</v>
      </c>
      <c r="EJ28">
        <v>1</v>
      </c>
      <c r="EK28">
        <v>12001</v>
      </c>
      <c r="EL28" t="s">
        <v>41</v>
      </c>
      <c r="EM28" t="s">
        <v>42</v>
      </c>
      <c r="EO28" t="s">
        <v>6</v>
      </c>
      <c r="EQ28">
        <v>0</v>
      </c>
      <c r="ER28">
        <v>19.84</v>
      </c>
      <c r="ES28">
        <v>19.84</v>
      </c>
      <c r="ET28">
        <v>0</v>
      </c>
      <c r="EU28">
        <v>0</v>
      </c>
      <c r="EV28">
        <v>0</v>
      </c>
      <c r="EW28">
        <v>0</v>
      </c>
      <c r="EX28">
        <v>0</v>
      </c>
      <c r="EZ28">
        <v>5</v>
      </c>
      <c r="FC28">
        <v>1</v>
      </c>
      <c r="FD28">
        <v>18</v>
      </c>
      <c r="FF28">
        <v>149.33000000000001</v>
      </c>
      <c r="FQ28">
        <v>0</v>
      </c>
      <c r="FR28">
        <f t="shared" si="40"/>
        <v>0</v>
      </c>
      <c r="FS28">
        <v>0</v>
      </c>
      <c r="FT28" t="s">
        <v>21</v>
      </c>
      <c r="FU28" t="s">
        <v>22</v>
      </c>
      <c r="FX28">
        <v>108</v>
      </c>
      <c r="FY28">
        <v>55.25</v>
      </c>
      <c r="GA28" t="s">
        <v>46</v>
      </c>
      <c r="GD28">
        <v>0</v>
      </c>
      <c r="GF28">
        <v>-589723811</v>
      </c>
      <c r="GG28">
        <v>1</v>
      </c>
      <c r="GH28">
        <v>3</v>
      </c>
      <c r="GI28">
        <v>4</v>
      </c>
      <c r="GJ28">
        <v>0</v>
      </c>
      <c r="GK28">
        <f>ROUND(R28*(R12)/100,2)</f>
        <v>0</v>
      </c>
      <c r="GL28">
        <f t="shared" si="41"/>
        <v>0</v>
      </c>
      <c r="GM28">
        <f t="shared" si="42"/>
        <v>7569.44</v>
      </c>
      <c r="GN28">
        <f t="shared" si="43"/>
        <v>7569.44</v>
      </c>
      <c r="GO28">
        <f t="shared" si="44"/>
        <v>0</v>
      </c>
      <c r="GP28">
        <f t="shared" si="45"/>
        <v>0</v>
      </c>
      <c r="GR28">
        <v>1</v>
      </c>
      <c r="GS28">
        <v>1</v>
      </c>
      <c r="GT28">
        <v>0</v>
      </c>
      <c r="GU28" t="s">
        <v>6</v>
      </c>
      <c r="GV28">
        <f t="shared" si="46"/>
        <v>0</v>
      </c>
      <c r="GW28">
        <v>1</v>
      </c>
      <c r="GX28">
        <f t="shared" si="47"/>
        <v>0</v>
      </c>
      <c r="HA28">
        <v>0</v>
      </c>
      <c r="HB28">
        <v>0</v>
      </c>
      <c r="IK28">
        <v>0</v>
      </c>
    </row>
    <row r="29" spans="1:245" x14ac:dyDescent="0.2">
      <c r="A29">
        <v>18</v>
      </c>
      <c r="B29">
        <v>1</v>
      </c>
      <c r="C29">
        <v>21</v>
      </c>
      <c r="E29" t="s">
        <v>47</v>
      </c>
      <c r="F29" t="s">
        <v>48</v>
      </c>
      <c r="G29" t="s">
        <v>49</v>
      </c>
      <c r="H29" t="s">
        <v>50</v>
      </c>
      <c r="I29">
        <f>I27*J29</f>
        <v>-9.3526999999999999E-2</v>
      </c>
      <c r="J29">
        <v>-0.78199832775919731</v>
      </c>
      <c r="O29">
        <f t="shared" si="14"/>
        <v>-6683.07</v>
      </c>
      <c r="P29">
        <f t="shared" si="15"/>
        <v>-6683.07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16628881</v>
      </c>
      <c r="AB29">
        <f t="shared" si="25"/>
        <v>11200</v>
      </c>
      <c r="AC29">
        <f t="shared" si="26"/>
        <v>11200</v>
      </c>
      <c r="AD29">
        <f>ROUND((((ET29)-(EU29))+AE29),2)</f>
        <v>0</v>
      </c>
      <c r="AE29">
        <f>ROUND((EU29),2)</f>
        <v>0</v>
      </c>
      <c r="AF29">
        <f>ROUND((EV29),2)</f>
        <v>0</v>
      </c>
      <c r="AG29">
        <f t="shared" si="27"/>
        <v>0</v>
      </c>
      <c r="AH29">
        <f>(EW29)</f>
        <v>0</v>
      </c>
      <c r="AI29">
        <f>(EX29)</f>
        <v>0</v>
      </c>
      <c r="AJ29">
        <f t="shared" si="28"/>
        <v>0</v>
      </c>
      <c r="AK29">
        <v>11200</v>
      </c>
      <c r="AL29">
        <v>11200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108</v>
      </c>
      <c r="AU29">
        <v>55</v>
      </c>
      <c r="AV29">
        <v>1</v>
      </c>
      <c r="AW29">
        <v>1</v>
      </c>
      <c r="AZ29">
        <v>6.38</v>
      </c>
      <c r="BA29">
        <v>1</v>
      </c>
      <c r="BB29">
        <v>1</v>
      </c>
      <c r="BC29">
        <v>6.38</v>
      </c>
      <c r="BD29" t="s">
        <v>6</v>
      </c>
      <c r="BE29" t="s">
        <v>6</v>
      </c>
      <c r="BF29" t="s">
        <v>6</v>
      </c>
      <c r="BG29" t="s">
        <v>6</v>
      </c>
      <c r="BH29">
        <v>3</v>
      </c>
      <c r="BI29">
        <v>1</v>
      </c>
      <c r="BJ29" t="s">
        <v>51</v>
      </c>
      <c r="BM29">
        <v>12001</v>
      </c>
      <c r="BN29">
        <v>0</v>
      </c>
      <c r="BO29" t="s">
        <v>6</v>
      </c>
      <c r="BP29">
        <v>0</v>
      </c>
      <c r="BQ29">
        <v>2</v>
      </c>
      <c r="BR29">
        <v>1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120</v>
      </c>
      <c r="CA29">
        <v>65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29"/>
        <v>-6683.07</v>
      </c>
      <c r="CQ29">
        <f t="shared" si="30"/>
        <v>71456</v>
      </c>
      <c r="CR29">
        <f t="shared" si="31"/>
        <v>0</v>
      </c>
      <c r="CS29">
        <f t="shared" si="32"/>
        <v>0</v>
      </c>
      <c r="CT29">
        <f t="shared" si="33"/>
        <v>0</v>
      </c>
      <c r="CU29">
        <f t="shared" si="34"/>
        <v>0</v>
      </c>
      <c r="CV29">
        <f t="shared" si="35"/>
        <v>0</v>
      </c>
      <c r="CW29">
        <f t="shared" si="36"/>
        <v>0</v>
      </c>
      <c r="CX29">
        <f t="shared" si="37"/>
        <v>0</v>
      </c>
      <c r="CY29">
        <f t="shared" si="38"/>
        <v>0</v>
      </c>
      <c r="CZ29">
        <f t="shared" si="39"/>
        <v>0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1009</v>
      </c>
      <c r="DV29" t="s">
        <v>50</v>
      </c>
      <c r="DW29" t="s">
        <v>50</v>
      </c>
      <c r="DX29">
        <v>1000</v>
      </c>
      <c r="EE29">
        <v>16510489</v>
      </c>
      <c r="EF29">
        <v>2</v>
      </c>
      <c r="EG29" t="s">
        <v>18</v>
      </c>
      <c r="EH29">
        <v>0</v>
      </c>
      <c r="EI29" t="s">
        <v>6</v>
      </c>
      <c r="EJ29">
        <v>1</v>
      </c>
      <c r="EK29">
        <v>12001</v>
      </c>
      <c r="EL29" t="s">
        <v>41</v>
      </c>
      <c r="EM29" t="s">
        <v>42</v>
      </c>
      <c r="EO29" t="s">
        <v>6</v>
      </c>
      <c r="EQ29">
        <v>0</v>
      </c>
      <c r="ER29">
        <v>11200</v>
      </c>
      <c r="ES29">
        <v>11200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 t="shared" si="40"/>
        <v>0</v>
      </c>
      <c r="FS29">
        <v>0</v>
      </c>
      <c r="FT29" t="s">
        <v>21</v>
      </c>
      <c r="FU29" t="s">
        <v>22</v>
      </c>
      <c r="FX29">
        <v>108</v>
      </c>
      <c r="FY29">
        <v>55.25</v>
      </c>
      <c r="GA29" t="s">
        <v>52</v>
      </c>
      <c r="GD29">
        <v>0</v>
      </c>
      <c r="GF29">
        <v>-272931147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1"/>
        <v>0</v>
      </c>
      <c r="GM29">
        <f t="shared" si="42"/>
        <v>-6683.07</v>
      </c>
      <c r="GN29">
        <f t="shared" si="43"/>
        <v>-6683.07</v>
      </c>
      <c r="GO29">
        <f t="shared" si="44"/>
        <v>0</v>
      </c>
      <c r="GP29">
        <f t="shared" si="45"/>
        <v>0</v>
      </c>
      <c r="GR29">
        <v>0</v>
      </c>
      <c r="GS29">
        <v>4</v>
      </c>
      <c r="GT29">
        <v>0</v>
      </c>
      <c r="GU29" t="s">
        <v>6</v>
      </c>
      <c r="GV29">
        <f t="shared" si="46"/>
        <v>0</v>
      </c>
      <c r="GW29">
        <v>1</v>
      </c>
      <c r="GX29">
        <f t="shared" si="47"/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ROW(SmtRes!A31)</f>
        <v>31</v>
      </c>
      <c r="D30">
        <f>ROW(EtalonRes!A29)</f>
        <v>29</v>
      </c>
      <c r="E30" t="s">
        <v>53</v>
      </c>
      <c r="F30" t="s">
        <v>54</v>
      </c>
      <c r="G30" t="s">
        <v>55</v>
      </c>
      <c r="H30" t="s">
        <v>16</v>
      </c>
      <c r="I30">
        <f>ROUND(65.32/100,9)</f>
        <v>0.6532</v>
      </c>
      <c r="J30">
        <v>0</v>
      </c>
      <c r="O30">
        <f t="shared" si="14"/>
        <v>7509.6</v>
      </c>
      <c r="P30">
        <f t="shared" si="15"/>
        <v>1.5</v>
      </c>
      <c r="Q30">
        <f t="shared" si="16"/>
        <v>184.2</v>
      </c>
      <c r="R30">
        <f t="shared" si="17"/>
        <v>35.840000000000003</v>
      </c>
      <c r="S30">
        <f t="shared" si="18"/>
        <v>7323.9</v>
      </c>
      <c r="T30">
        <f t="shared" si="19"/>
        <v>0</v>
      </c>
      <c r="U30">
        <f t="shared" si="20"/>
        <v>125.0489346</v>
      </c>
      <c r="V30">
        <f t="shared" si="21"/>
        <v>0.47356999999999999</v>
      </c>
      <c r="W30">
        <f t="shared" si="22"/>
        <v>0</v>
      </c>
      <c r="X30">
        <f t="shared" si="23"/>
        <v>6991.75</v>
      </c>
      <c r="Y30">
        <f t="shared" si="24"/>
        <v>3459.08</v>
      </c>
      <c r="AA30">
        <v>16628881</v>
      </c>
      <c r="AB30">
        <f t="shared" si="25"/>
        <v>1801.98</v>
      </c>
      <c r="AC30">
        <f t="shared" si="26"/>
        <v>0.36</v>
      </c>
      <c r="AD30">
        <f>ROUND(((((ET30*1.25))-((EU30*1.25)))+AE30),2)</f>
        <v>44.2</v>
      </c>
      <c r="AE30">
        <f>ROUND(((EU30*1.25)),2)</f>
        <v>8.6</v>
      </c>
      <c r="AF30">
        <f>ROUND(((EV30*1.15)),2)</f>
        <v>1757.42</v>
      </c>
      <c r="AG30">
        <f t="shared" si="27"/>
        <v>0</v>
      </c>
      <c r="AH30">
        <f>((EW30*1.15))</f>
        <v>191.44049999999999</v>
      </c>
      <c r="AI30">
        <f>((EX30*1.25))</f>
        <v>0.72499999999999998</v>
      </c>
      <c r="AJ30">
        <f t="shared" si="28"/>
        <v>0</v>
      </c>
      <c r="AK30">
        <v>1563.91</v>
      </c>
      <c r="AL30">
        <v>0.36</v>
      </c>
      <c r="AM30">
        <v>35.36</v>
      </c>
      <c r="AN30">
        <v>6.88</v>
      </c>
      <c r="AO30">
        <v>1528.19</v>
      </c>
      <c r="AP30">
        <v>0</v>
      </c>
      <c r="AQ30">
        <v>166.47</v>
      </c>
      <c r="AR30">
        <v>0.57999999999999996</v>
      </c>
      <c r="AS30">
        <v>0</v>
      </c>
      <c r="AT30">
        <v>95</v>
      </c>
      <c r="AU30">
        <v>47</v>
      </c>
      <c r="AV30">
        <v>1</v>
      </c>
      <c r="AW30">
        <v>1</v>
      </c>
      <c r="AZ30">
        <v>6.38</v>
      </c>
      <c r="BA30">
        <v>6.38</v>
      </c>
      <c r="BB30">
        <v>6.38</v>
      </c>
      <c r="BC30">
        <v>6.38</v>
      </c>
      <c r="BD30" t="s">
        <v>6</v>
      </c>
      <c r="BE30" t="s">
        <v>6</v>
      </c>
      <c r="BF30" t="s">
        <v>6</v>
      </c>
      <c r="BG30" t="s">
        <v>6</v>
      </c>
      <c r="BH30">
        <v>0</v>
      </c>
      <c r="BI30">
        <v>1</v>
      </c>
      <c r="BJ30" t="s">
        <v>56</v>
      </c>
      <c r="BM30">
        <v>15001</v>
      </c>
      <c r="BN30">
        <v>0</v>
      </c>
      <c r="BO30" t="s">
        <v>6</v>
      </c>
      <c r="BP30">
        <v>0</v>
      </c>
      <c r="BQ30">
        <v>2</v>
      </c>
      <c r="BR30">
        <v>0</v>
      </c>
      <c r="BS30">
        <v>6.38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6</v>
      </c>
      <c r="BZ30">
        <v>105</v>
      </c>
      <c r="CA30">
        <v>55</v>
      </c>
      <c r="CF30">
        <v>0</v>
      </c>
      <c r="CG30">
        <v>0</v>
      </c>
      <c r="CM30">
        <v>0</v>
      </c>
      <c r="CN30" t="s">
        <v>293</v>
      </c>
      <c r="CO30">
        <v>0</v>
      </c>
      <c r="CP30">
        <f t="shared" si="29"/>
        <v>7509.5999999999995</v>
      </c>
      <c r="CQ30">
        <f t="shared" si="30"/>
        <v>2.2967999999999997</v>
      </c>
      <c r="CR30">
        <f t="shared" si="31"/>
        <v>281.99600000000004</v>
      </c>
      <c r="CS30">
        <f t="shared" si="32"/>
        <v>54.867999999999995</v>
      </c>
      <c r="CT30">
        <f t="shared" si="33"/>
        <v>11212.339600000001</v>
      </c>
      <c r="CU30">
        <f t="shared" si="34"/>
        <v>0</v>
      </c>
      <c r="CV30">
        <f t="shared" si="35"/>
        <v>191.44049999999999</v>
      </c>
      <c r="CW30">
        <f t="shared" si="36"/>
        <v>0.72499999999999998</v>
      </c>
      <c r="CX30">
        <f t="shared" si="37"/>
        <v>0</v>
      </c>
      <c r="CY30">
        <f t="shared" si="38"/>
        <v>6991.7529999999997</v>
      </c>
      <c r="CZ30">
        <f t="shared" si="39"/>
        <v>3459.0777999999996</v>
      </c>
      <c r="DC30" t="s">
        <v>6</v>
      </c>
      <c r="DD30" t="s">
        <v>6</v>
      </c>
      <c r="DE30" t="s">
        <v>27</v>
      </c>
      <c r="DF30" t="s">
        <v>27</v>
      </c>
      <c r="DG30" t="s">
        <v>28</v>
      </c>
      <c r="DH30" t="s">
        <v>6</v>
      </c>
      <c r="DI30" t="s">
        <v>28</v>
      </c>
      <c r="DJ30" t="s">
        <v>27</v>
      </c>
      <c r="DK30" t="s">
        <v>6</v>
      </c>
      <c r="DL30" t="s">
        <v>6</v>
      </c>
      <c r="DM30" t="s">
        <v>6</v>
      </c>
      <c r="DN30">
        <v>0</v>
      </c>
      <c r="DO30">
        <v>0</v>
      </c>
      <c r="DP30">
        <v>1</v>
      </c>
      <c r="DQ30">
        <v>1</v>
      </c>
      <c r="DU30">
        <v>1005</v>
      </c>
      <c r="DV30" t="s">
        <v>16</v>
      </c>
      <c r="DW30" t="s">
        <v>16</v>
      </c>
      <c r="DX30">
        <v>100</v>
      </c>
      <c r="EE30">
        <v>16510513</v>
      </c>
      <c r="EF30">
        <v>2</v>
      </c>
      <c r="EG30" t="s">
        <v>18</v>
      </c>
      <c r="EH30">
        <v>0</v>
      </c>
      <c r="EI30" t="s">
        <v>6</v>
      </c>
      <c r="EJ30">
        <v>1</v>
      </c>
      <c r="EK30">
        <v>15001</v>
      </c>
      <c r="EL30" t="s">
        <v>57</v>
      </c>
      <c r="EM30" t="s">
        <v>58</v>
      </c>
      <c r="EO30" t="s">
        <v>31</v>
      </c>
      <c r="EQ30">
        <v>131072</v>
      </c>
      <c r="ER30">
        <v>1563.91</v>
      </c>
      <c r="ES30">
        <v>0.36</v>
      </c>
      <c r="ET30">
        <v>35.36</v>
      </c>
      <c r="EU30">
        <v>6.88</v>
      </c>
      <c r="EV30">
        <v>1528.19</v>
      </c>
      <c r="EW30">
        <v>166.47</v>
      </c>
      <c r="EX30">
        <v>0.57999999999999996</v>
      </c>
      <c r="EY30">
        <v>0</v>
      </c>
      <c r="FQ30">
        <v>0</v>
      </c>
      <c r="FR30">
        <f t="shared" si="40"/>
        <v>0</v>
      </c>
      <c r="FS30">
        <v>0</v>
      </c>
      <c r="FT30" t="s">
        <v>21</v>
      </c>
      <c r="FU30" t="s">
        <v>22</v>
      </c>
      <c r="FX30">
        <v>94.5</v>
      </c>
      <c r="FY30">
        <v>46.75</v>
      </c>
      <c r="GA30" t="s">
        <v>6</v>
      </c>
      <c r="GD30">
        <v>0</v>
      </c>
      <c r="GF30">
        <v>802970418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1"/>
        <v>0</v>
      </c>
      <c r="GM30">
        <f t="shared" si="42"/>
        <v>17960.43</v>
      </c>
      <c r="GN30">
        <f t="shared" si="43"/>
        <v>17960.43</v>
      </c>
      <c r="GO30">
        <f t="shared" si="44"/>
        <v>0</v>
      </c>
      <c r="GP30">
        <f t="shared" si="45"/>
        <v>0</v>
      </c>
      <c r="GR30">
        <v>0</v>
      </c>
      <c r="GS30">
        <v>3</v>
      </c>
      <c r="GT30">
        <v>0</v>
      </c>
      <c r="GU30" t="s">
        <v>6</v>
      </c>
      <c r="GV30">
        <f t="shared" si="46"/>
        <v>0</v>
      </c>
      <c r="GW30">
        <v>1</v>
      </c>
      <c r="GX30">
        <f t="shared" si="47"/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31</v>
      </c>
      <c r="E31" t="s">
        <v>59</v>
      </c>
      <c r="F31" t="s">
        <v>33</v>
      </c>
      <c r="G31" t="s">
        <v>60</v>
      </c>
      <c r="H31" t="s">
        <v>45</v>
      </c>
      <c r="I31">
        <f>I30*J31</f>
        <v>163.30000000000001</v>
      </c>
      <c r="J31">
        <v>250.00000000000003</v>
      </c>
      <c r="O31">
        <f t="shared" si="14"/>
        <v>82754.460000000006</v>
      </c>
      <c r="P31">
        <f t="shared" si="15"/>
        <v>82754.460000000006</v>
      </c>
      <c r="Q31">
        <f t="shared" si="16"/>
        <v>0</v>
      </c>
      <c r="R31">
        <f t="shared" si="17"/>
        <v>0</v>
      </c>
      <c r="S31">
        <f t="shared" si="18"/>
        <v>0</v>
      </c>
      <c r="T31">
        <f t="shared" si="19"/>
        <v>0</v>
      </c>
      <c r="U31">
        <f t="shared" si="20"/>
        <v>0</v>
      </c>
      <c r="V31">
        <f t="shared" si="21"/>
        <v>0</v>
      </c>
      <c r="W31">
        <f t="shared" si="22"/>
        <v>0</v>
      </c>
      <c r="X31">
        <f t="shared" si="23"/>
        <v>0</v>
      </c>
      <c r="Y31">
        <f t="shared" si="24"/>
        <v>0</v>
      </c>
      <c r="AA31">
        <v>16628881</v>
      </c>
      <c r="AB31">
        <f t="shared" si="25"/>
        <v>79.430000000000007</v>
      </c>
      <c r="AC31">
        <f t="shared" si="26"/>
        <v>79.430000000000007</v>
      </c>
      <c r="AD31">
        <f>ROUND((((ET31)-(EU31))+AE31),2)</f>
        <v>0</v>
      </c>
      <c r="AE31">
        <f t="shared" ref="AE31:AF34" si="48">ROUND((EU31),2)</f>
        <v>0</v>
      </c>
      <c r="AF31">
        <f t="shared" si="48"/>
        <v>0</v>
      </c>
      <c r="AG31">
        <f t="shared" si="27"/>
        <v>0</v>
      </c>
      <c r="AH31">
        <f t="shared" ref="AH31:AI34" si="49">(EW31)</f>
        <v>0</v>
      </c>
      <c r="AI31">
        <f t="shared" si="49"/>
        <v>0</v>
      </c>
      <c r="AJ31">
        <f t="shared" si="28"/>
        <v>0</v>
      </c>
      <c r="AK31">
        <v>79.430000000000007</v>
      </c>
      <c r="AL31">
        <v>79.430000000000007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95</v>
      </c>
      <c r="AU31">
        <v>47</v>
      </c>
      <c r="AV31">
        <v>1</v>
      </c>
      <c r="AW31">
        <v>1</v>
      </c>
      <c r="AZ31">
        <v>6.38</v>
      </c>
      <c r="BA31">
        <v>1</v>
      </c>
      <c r="BB31">
        <v>1</v>
      </c>
      <c r="BC31">
        <v>6.38</v>
      </c>
      <c r="BD31" t="s">
        <v>6</v>
      </c>
      <c r="BE31" t="s">
        <v>6</v>
      </c>
      <c r="BF31" t="s">
        <v>6</v>
      </c>
      <c r="BG31" t="s">
        <v>6</v>
      </c>
      <c r="BH31">
        <v>3</v>
      </c>
      <c r="BI31">
        <v>1</v>
      </c>
      <c r="BJ31" t="s">
        <v>6</v>
      </c>
      <c r="BM31">
        <v>15001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105</v>
      </c>
      <c r="CA31">
        <v>55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29"/>
        <v>82754.460000000006</v>
      </c>
      <c r="CQ31">
        <f t="shared" si="30"/>
        <v>506.76340000000005</v>
      </c>
      <c r="CR31">
        <f t="shared" si="31"/>
        <v>0</v>
      </c>
      <c r="CS31">
        <f t="shared" si="32"/>
        <v>0</v>
      </c>
      <c r="CT31">
        <f t="shared" si="33"/>
        <v>0</v>
      </c>
      <c r="CU31">
        <f t="shared" si="34"/>
        <v>0</v>
      </c>
      <c r="CV31">
        <f t="shared" si="35"/>
        <v>0</v>
      </c>
      <c r="CW31">
        <f t="shared" si="36"/>
        <v>0</v>
      </c>
      <c r="CX31">
        <f t="shared" si="37"/>
        <v>0</v>
      </c>
      <c r="CY31">
        <f t="shared" si="38"/>
        <v>0</v>
      </c>
      <c r="CZ31">
        <f t="shared" si="39"/>
        <v>0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1003</v>
      </c>
      <c r="DV31" t="s">
        <v>45</v>
      </c>
      <c r="DW31" t="s">
        <v>45</v>
      </c>
      <c r="DX31">
        <v>1</v>
      </c>
      <c r="EE31">
        <v>16510513</v>
      </c>
      <c r="EF31">
        <v>2</v>
      </c>
      <c r="EG31" t="s">
        <v>18</v>
      </c>
      <c r="EH31">
        <v>0</v>
      </c>
      <c r="EI31" t="s">
        <v>6</v>
      </c>
      <c r="EJ31">
        <v>1</v>
      </c>
      <c r="EK31">
        <v>15001</v>
      </c>
      <c r="EL31" t="s">
        <v>57</v>
      </c>
      <c r="EM31" t="s">
        <v>58</v>
      </c>
      <c r="EO31" t="s">
        <v>6</v>
      </c>
      <c r="EQ31">
        <v>0</v>
      </c>
      <c r="ER31">
        <v>79.430000000000007</v>
      </c>
      <c r="ES31">
        <v>79.430000000000007</v>
      </c>
      <c r="ET31">
        <v>0</v>
      </c>
      <c r="EU31">
        <v>0</v>
      </c>
      <c r="EV31">
        <v>0</v>
      </c>
      <c r="EW31">
        <v>0</v>
      </c>
      <c r="EX31">
        <v>0</v>
      </c>
      <c r="EZ31">
        <v>5</v>
      </c>
      <c r="FC31">
        <v>1</v>
      </c>
      <c r="FD31">
        <v>18</v>
      </c>
      <c r="FF31">
        <v>598</v>
      </c>
      <c r="FQ31">
        <v>0</v>
      </c>
      <c r="FR31">
        <f t="shared" si="40"/>
        <v>0</v>
      </c>
      <c r="FS31">
        <v>0</v>
      </c>
      <c r="FT31" t="s">
        <v>21</v>
      </c>
      <c r="FU31" t="s">
        <v>22</v>
      </c>
      <c r="FX31">
        <v>94.5</v>
      </c>
      <c r="FY31">
        <v>46.75</v>
      </c>
      <c r="GA31" t="s">
        <v>61</v>
      </c>
      <c r="GD31">
        <v>0</v>
      </c>
      <c r="GF31">
        <v>199748778</v>
      </c>
      <c r="GG31">
        <v>1</v>
      </c>
      <c r="GH31">
        <v>3</v>
      </c>
      <c r="GI31">
        <v>4</v>
      </c>
      <c r="GJ31">
        <v>0</v>
      </c>
      <c r="GK31">
        <f>ROUND(R31*(R12)/100,2)</f>
        <v>0</v>
      </c>
      <c r="GL31">
        <f t="shared" si="41"/>
        <v>0</v>
      </c>
      <c r="GM31">
        <f t="shared" si="42"/>
        <v>82754.460000000006</v>
      </c>
      <c r="GN31">
        <f t="shared" si="43"/>
        <v>82754.460000000006</v>
      </c>
      <c r="GO31">
        <f t="shared" si="44"/>
        <v>0</v>
      </c>
      <c r="GP31">
        <f t="shared" si="45"/>
        <v>0</v>
      </c>
      <c r="GR31">
        <v>1</v>
      </c>
      <c r="GS31">
        <v>1</v>
      </c>
      <c r="GT31">
        <v>0</v>
      </c>
      <c r="GU31" t="s">
        <v>6</v>
      </c>
      <c r="GV31">
        <f t="shared" si="46"/>
        <v>0</v>
      </c>
      <c r="GW31">
        <v>1</v>
      </c>
      <c r="GX31">
        <f t="shared" si="47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29</v>
      </c>
      <c r="E32" t="s">
        <v>62</v>
      </c>
      <c r="F32" t="s">
        <v>63</v>
      </c>
      <c r="G32" t="s">
        <v>64</v>
      </c>
      <c r="H32" t="s">
        <v>65</v>
      </c>
      <c r="I32">
        <f>I30*J32</f>
        <v>19.596</v>
      </c>
      <c r="J32">
        <v>30</v>
      </c>
      <c r="O32">
        <f t="shared" si="14"/>
        <v>2465.44</v>
      </c>
      <c r="P32">
        <f t="shared" si="15"/>
        <v>2465.44</v>
      </c>
      <c r="Q32">
        <f t="shared" si="16"/>
        <v>0</v>
      </c>
      <c r="R32">
        <f t="shared" si="17"/>
        <v>0</v>
      </c>
      <c r="S32">
        <f t="shared" si="18"/>
        <v>0</v>
      </c>
      <c r="T32">
        <f t="shared" si="19"/>
        <v>0</v>
      </c>
      <c r="U32">
        <f t="shared" si="20"/>
        <v>0</v>
      </c>
      <c r="V32">
        <f t="shared" si="21"/>
        <v>0</v>
      </c>
      <c r="W32">
        <f t="shared" si="22"/>
        <v>0</v>
      </c>
      <c r="X32">
        <f t="shared" si="23"/>
        <v>0</v>
      </c>
      <c r="Y32">
        <f t="shared" si="24"/>
        <v>0</v>
      </c>
      <c r="AA32">
        <v>16628881</v>
      </c>
      <c r="AB32">
        <f t="shared" si="25"/>
        <v>19.72</v>
      </c>
      <c r="AC32">
        <f t="shared" si="26"/>
        <v>19.72</v>
      </c>
      <c r="AD32">
        <f>ROUND((((ET32)-(EU32))+AE32),2)</f>
        <v>0</v>
      </c>
      <c r="AE32">
        <f t="shared" si="48"/>
        <v>0</v>
      </c>
      <c r="AF32">
        <f t="shared" si="48"/>
        <v>0</v>
      </c>
      <c r="AG32">
        <f t="shared" si="27"/>
        <v>0</v>
      </c>
      <c r="AH32">
        <f t="shared" si="49"/>
        <v>0</v>
      </c>
      <c r="AI32">
        <f t="shared" si="49"/>
        <v>0</v>
      </c>
      <c r="AJ32">
        <f t="shared" si="28"/>
        <v>0</v>
      </c>
      <c r="AK32">
        <v>19.72</v>
      </c>
      <c r="AL32">
        <v>19.72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95</v>
      </c>
      <c r="AU32">
        <v>47</v>
      </c>
      <c r="AV32">
        <v>1</v>
      </c>
      <c r="AW32">
        <v>1</v>
      </c>
      <c r="AZ32">
        <v>6.38</v>
      </c>
      <c r="BA32">
        <v>1</v>
      </c>
      <c r="BB32">
        <v>1</v>
      </c>
      <c r="BC32">
        <v>6.38</v>
      </c>
      <c r="BD32" t="s">
        <v>6</v>
      </c>
      <c r="BE32" t="s">
        <v>6</v>
      </c>
      <c r="BF32" t="s">
        <v>6</v>
      </c>
      <c r="BG32" t="s">
        <v>6</v>
      </c>
      <c r="BH32">
        <v>3</v>
      </c>
      <c r="BI32">
        <v>1</v>
      </c>
      <c r="BJ32" t="s">
        <v>66</v>
      </c>
      <c r="BM32">
        <v>15001</v>
      </c>
      <c r="BN32">
        <v>0</v>
      </c>
      <c r="BO32" t="s">
        <v>6</v>
      </c>
      <c r="BP32">
        <v>0</v>
      </c>
      <c r="BQ32">
        <v>2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6</v>
      </c>
      <c r="BZ32">
        <v>105</v>
      </c>
      <c r="CA32">
        <v>55</v>
      </c>
      <c r="CF32">
        <v>0</v>
      </c>
      <c r="CG32">
        <v>0</v>
      </c>
      <c r="CM32">
        <v>0</v>
      </c>
      <c r="CN32" t="s">
        <v>6</v>
      </c>
      <c r="CO32">
        <v>0</v>
      </c>
      <c r="CP32">
        <f t="shared" si="29"/>
        <v>2465.44</v>
      </c>
      <c r="CQ32">
        <f t="shared" si="30"/>
        <v>125.81359999999999</v>
      </c>
      <c r="CR32">
        <f t="shared" si="31"/>
        <v>0</v>
      </c>
      <c r="CS32">
        <f t="shared" si="32"/>
        <v>0</v>
      </c>
      <c r="CT32">
        <f t="shared" si="33"/>
        <v>0</v>
      </c>
      <c r="CU32">
        <f t="shared" si="34"/>
        <v>0</v>
      </c>
      <c r="CV32">
        <f t="shared" si="35"/>
        <v>0</v>
      </c>
      <c r="CW32">
        <f t="shared" si="36"/>
        <v>0</v>
      </c>
      <c r="CX32">
        <f t="shared" si="37"/>
        <v>0</v>
      </c>
      <c r="CY32">
        <f t="shared" si="38"/>
        <v>0</v>
      </c>
      <c r="CZ32">
        <f t="shared" si="39"/>
        <v>0</v>
      </c>
      <c r="DC32" t="s">
        <v>6</v>
      </c>
      <c r="DD32" t="s">
        <v>6</v>
      </c>
      <c r="DE32" t="s">
        <v>6</v>
      </c>
      <c r="DF32" t="s">
        <v>6</v>
      </c>
      <c r="DG32" t="s">
        <v>6</v>
      </c>
      <c r="DH32" t="s">
        <v>6</v>
      </c>
      <c r="DI32" t="s">
        <v>6</v>
      </c>
      <c r="DJ32" t="s">
        <v>6</v>
      </c>
      <c r="DK32" t="s">
        <v>6</v>
      </c>
      <c r="DL32" t="s">
        <v>6</v>
      </c>
      <c r="DM32" t="s">
        <v>6</v>
      </c>
      <c r="DN32">
        <v>0</v>
      </c>
      <c r="DO32">
        <v>0</v>
      </c>
      <c r="DP32">
        <v>1</v>
      </c>
      <c r="DQ32">
        <v>1</v>
      </c>
      <c r="DU32">
        <v>1009</v>
      </c>
      <c r="DV32" t="s">
        <v>65</v>
      </c>
      <c r="DW32" t="s">
        <v>65</v>
      </c>
      <c r="DX32">
        <v>1</v>
      </c>
      <c r="EE32">
        <v>16510513</v>
      </c>
      <c r="EF32">
        <v>2</v>
      </c>
      <c r="EG32" t="s">
        <v>18</v>
      </c>
      <c r="EH32">
        <v>0</v>
      </c>
      <c r="EI32" t="s">
        <v>6</v>
      </c>
      <c r="EJ32">
        <v>1</v>
      </c>
      <c r="EK32">
        <v>15001</v>
      </c>
      <c r="EL32" t="s">
        <v>57</v>
      </c>
      <c r="EM32" t="s">
        <v>58</v>
      </c>
      <c r="EO32" t="s">
        <v>6</v>
      </c>
      <c r="EQ32">
        <v>0</v>
      </c>
      <c r="ER32">
        <v>19.72</v>
      </c>
      <c r="ES32">
        <v>19.72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40"/>
        <v>0</v>
      </c>
      <c r="FS32">
        <v>0</v>
      </c>
      <c r="FT32" t="s">
        <v>21</v>
      </c>
      <c r="FU32" t="s">
        <v>22</v>
      </c>
      <c r="FX32">
        <v>94.5</v>
      </c>
      <c r="FY32">
        <v>46.75</v>
      </c>
      <c r="GA32" t="s">
        <v>6</v>
      </c>
      <c r="GD32">
        <v>0</v>
      </c>
      <c r="GF32">
        <v>1227292258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1"/>
        <v>0</v>
      </c>
      <c r="GM32">
        <f t="shared" si="42"/>
        <v>2465.44</v>
      </c>
      <c r="GN32">
        <f t="shared" si="43"/>
        <v>2465.44</v>
      </c>
      <c r="GO32">
        <f t="shared" si="44"/>
        <v>0</v>
      </c>
      <c r="GP32">
        <f t="shared" si="45"/>
        <v>0</v>
      </c>
      <c r="GR32">
        <v>0</v>
      </c>
      <c r="GS32">
        <v>3</v>
      </c>
      <c r="GT32">
        <v>0</v>
      </c>
      <c r="GU32" t="s">
        <v>6</v>
      </c>
      <c r="GV32">
        <f t="shared" si="46"/>
        <v>0</v>
      </c>
      <c r="GW32">
        <v>1</v>
      </c>
      <c r="GX32">
        <f t="shared" si="47"/>
        <v>0</v>
      </c>
      <c r="HA32">
        <v>0</v>
      </c>
      <c r="HB32">
        <v>0</v>
      </c>
      <c r="IK32">
        <v>0</v>
      </c>
    </row>
    <row r="33" spans="1:245" x14ac:dyDescent="0.2">
      <c r="A33">
        <v>18</v>
      </c>
      <c r="B33">
        <v>1</v>
      </c>
      <c r="C33">
        <v>30</v>
      </c>
      <c r="E33" t="s">
        <v>67</v>
      </c>
      <c r="F33" t="s">
        <v>68</v>
      </c>
      <c r="G33" t="s">
        <v>69</v>
      </c>
      <c r="H33" t="s">
        <v>65</v>
      </c>
      <c r="I33">
        <f>I30*J33</f>
        <v>5.8134800000000002</v>
      </c>
      <c r="J33">
        <v>8.9</v>
      </c>
      <c r="O33">
        <f t="shared" si="14"/>
        <v>7822.28</v>
      </c>
      <c r="P33">
        <f t="shared" si="15"/>
        <v>7822.28</v>
      </c>
      <c r="Q33">
        <f t="shared" si="16"/>
        <v>0</v>
      </c>
      <c r="R33">
        <f t="shared" si="17"/>
        <v>0</v>
      </c>
      <c r="S33">
        <f t="shared" si="18"/>
        <v>0</v>
      </c>
      <c r="T33">
        <f t="shared" si="19"/>
        <v>0</v>
      </c>
      <c r="U33">
        <f t="shared" si="20"/>
        <v>0</v>
      </c>
      <c r="V33">
        <f t="shared" si="21"/>
        <v>0</v>
      </c>
      <c r="W33">
        <f t="shared" si="22"/>
        <v>0</v>
      </c>
      <c r="X33">
        <f t="shared" si="23"/>
        <v>0</v>
      </c>
      <c r="Y33">
        <f t="shared" si="24"/>
        <v>0</v>
      </c>
      <c r="AA33">
        <v>16628881</v>
      </c>
      <c r="AB33">
        <f t="shared" si="25"/>
        <v>210.9</v>
      </c>
      <c r="AC33">
        <f t="shared" si="26"/>
        <v>210.9</v>
      </c>
      <c r="AD33">
        <f>ROUND((((ET33)-(EU33))+AE33),2)</f>
        <v>0</v>
      </c>
      <c r="AE33">
        <f t="shared" si="48"/>
        <v>0</v>
      </c>
      <c r="AF33">
        <f t="shared" si="48"/>
        <v>0</v>
      </c>
      <c r="AG33">
        <f t="shared" si="27"/>
        <v>0</v>
      </c>
      <c r="AH33">
        <f t="shared" si="49"/>
        <v>0</v>
      </c>
      <c r="AI33">
        <f t="shared" si="49"/>
        <v>0</v>
      </c>
      <c r="AJ33">
        <f t="shared" si="28"/>
        <v>0</v>
      </c>
      <c r="AK33">
        <v>210.9</v>
      </c>
      <c r="AL33">
        <v>210.9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95</v>
      </c>
      <c r="AU33">
        <v>47</v>
      </c>
      <c r="AV33">
        <v>1</v>
      </c>
      <c r="AW33">
        <v>1</v>
      </c>
      <c r="AZ33">
        <v>6.38</v>
      </c>
      <c r="BA33">
        <v>1</v>
      </c>
      <c r="BB33">
        <v>1</v>
      </c>
      <c r="BC33">
        <v>6.38</v>
      </c>
      <c r="BD33" t="s">
        <v>6</v>
      </c>
      <c r="BE33" t="s">
        <v>6</v>
      </c>
      <c r="BF33" t="s">
        <v>6</v>
      </c>
      <c r="BG33" t="s">
        <v>6</v>
      </c>
      <c r="BH33">
        <v>3</v>
      </c>
      <c r="BI33">
        <v>1</v>
      </c>
      <c r="BJ33" t="s">
        <v>70</v>
      </c>
      <c r="BM33">
        <v>15001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105</v>
      </c>
      <c r="CA33">
        <v>55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29"/>
        <v>7822.28</v>
      </c>
      <c r="CQ33">
        <f t="shared" si="30"/>
        <v>1345.5419999999999</v>
      </c>
      <c r="CR33">
        <f t="shared" si="31"/>
        <v>0</v>
      </c>
      <c r="CS33">
        <f t="shared" si="32"/>
        <v>0</v>
      </c>
      <c r="CT33">
        <f t="shared" si="33"/>
        <v>0</v>
      </c>
      <c r="CU33">
        <f t="shared" si="34"/>
        <v>0</v>
      </c>
      <c r="CV33">
        <f t="shared" si="35"/>
        <v>0</v>
      </c>
      <c r="CW33">
        <f t="shared" si="36"/>
        <v>0</v>
      </c>
      <c r="CX33">
        <f t="shared" si="37"/>
        <v>0</v>
      </c>
      <c r="CY33">
        <f t="shared" si="38"/>
        <v>0</v>
      </c>
      <c r="CZ33">
        <f t="shared" si="39"/>
        <v>0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1009</v>
      </c>
      <c r="DV33" t="s">
        <v>65</v>
      </c>
      <c r="DW33" t="s">
        <v>65</v>
      </c>
      <c r="DX33">
        <v>1</v>
      </c>
      <c r="EE33">
        <v>16510513</v>
      </c>
      <c r="EF33">
        <v>2</v>
      </c>
      <c r="EG33" t="s">
        <v>18</v>
      </c>
      <c r="EH33">
        <v>0</v>
      </c>
      <c r="EI33" t="s">
        <v>6</v>
      </c>
      <c r="EJ33">
        <v>1</v>
      </c>
      <c r="EK33">
        <v>15001</v>
      </c>
      <c r="EL33" t="s">
        <v>57</v>
      </c>
      <c r="EM33" t="s">
        <v>58</v>
      </c>
      <c r="EO33" t="s">
        <v>6</v>
      </c>
      <c r="EQ33">
        <v>0</v>
      </c>
      <c r="ER33">
        <v>210.9</v>
      </c>
      <c r="ES33">
        <v>210.9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 t="shared" si="40"/>
        <v>0</v>
      </c>
      <c r="FS33">
        <v>0</v>
      </c>
      <c r="FT33" t="s">
        <v>21</v>
      </c>
      <c r="FU33" t="s">
        <v>22</v>
      </c>
      <c r="FX33">
        <v>94.5</v>
      </c>
      <c r="FY33">
        <v>46.75</v>
      </c>
      <c r="GA33" t="s">
        <v>6</v>
      </c>
      <c r="GD33">
        <v>0</v>
      </c>
      <c r="GF33">
        <v>1092481488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1"/>
        <v>0</v>
      </c>
      <c r="GM33">
        <f t="shared" si="42"/>
        <v>7822.28</v>
      </c>
      <c r="GN33">
        <f t="shared" si="43"/>
        <v>7822.28</v>
      </c>
      <c r="GO33">
        <f t="shared" si="44"/>
        <v>0</v>
      </c>
      <c r="GP33">
        <f t="shared" si="45"/>
        <v>0</v>
      </c>
      <c r="GR33">
        <v>0</v>
      </c>
      <c r="GS33">
        <v>3</v>
      </c>
      <c r="GT33">
        <v>0</v>
      </c>
      <c r="GU33" t="s">
        <v>6</v>
      </c>
      <c r="GV33">
        <f t="shared" si="46"/>
        <v>0</v>
      </c>
      <c r="GW33">
        <v>1</v>
      </c>
      <c r="GX33">
        <f t="shared" si="47"/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28</v>
      </c>
      <c r="E34" t="s">
        <v>71</v>
      </c>
      <c r="F34" t="s">
        <v>72</v>
      </c>
      <c r="G34" t="s">
        <v>73</v>
      </c>
      <c r="H34" t="s">
        <v>65</v>
      </c>
      <c r="I34">
        <f>I30*J34</f>
        <v>19.596</v>
      </c>
      <c r="J34">
        <v>30</v>
      </c>
      <c r="O34">
        <f t="shared" si="14"/>
        <v>0</v>
      </c>
      <c r="P34">
        <f t="shared" si="15"/>
        <v>0</v>
      </c>
      <c r="Q34">
        <f t="shared" si="16"/>
        <v>0</v>
      </c>
      <c r="R34">
        <f t="shared" si="17"/>
        <v>0</v>
      </c>
      <c r="S34">
        <f t="shared" si="18"/>
        <v>0</v>
      </c>
      <c r="T34">
        <f t="shared" si="19"/>
        <v>0</v>
      </c>
      <c r="U34">
        <f t="shared" si="20"/>
        <v>0</v>
      </c>
      <c r="V34">
        <f t="shared" si="21"/>
        <v>0</v>
      </c>
      <c r="W34">
        <f t="shared" si="22"/>
        <v>0</v>
      </c>
      <c r="X34">
        <f t="shared" si="23"/>
        <v>0</v>
      </c>
      <c r="Y34">
        <f t="shared" si="24"/>
        <v>0</v>
      </c>
      <c r="AA34">
        <v>16628881</v>
      </c>
      <c r="AB34">
        <f t="shared" si="25"/>
        <v>0</v>
      </c>
      <c r="AC34">
        <f t="shared" si="26"/>
        <v>0</v>
      </c>
      <c r="AD34">
        <f>ROUND((((ET34)-(EU34))+AE34),2)</f>
        <v>0</v>
      </c>
      <c r="AE34">
        <f t="shared" si="48"/>
        <v>0</v>
      </c>
      <c r="AF34">
        <f t="shared" si="48"/>
        <v>0</v>
      </c>
      <c r="AG34">
        <f t="shared" si="27"/>
        <v>0</v>
      </c>
      <c r="AH34">
        <f t="shared" si="49"/>
        <v>0</v>
      </c>
      <c r="AI34">
        <f t="shared" si="49"/>
        <v>0</v>
      </c>
      <c r="AJ34">
        <f t="shared" si="28"/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95</v>
      </c>
      <c r="AU34">
        <v>47</v>
      </c>
      <c r="AV34">
        <v>1</v>
      </c>
      <c r="AW34">
        <v>1</v>
      </c>
      <c r="AZ34">
        <v>6.38</v>
      </c>
      <c r="BA34">
        <v>1</v>
      </c>
      <c r="BB34">
        <v>1</v>
      </c>
      <c r="BC34">
        <v>6.38</v>
      </c>
      <c r="BD34" t="s">
        <v>6</v>
      </c>
      <c r="BE34" t="s">
        <v>6</v>
      </c>
      <c r="BF34" t="s">
        <v>6</v>
      </c>
      <c r="BG34" t="s">
        <v>6</v>
      </c>
      <c r="BH34">
        <v>3</v>
      </c>
      <c r="BI34">
        <v>1</v>
      </c>
      <c r="BJ34" t="s">
        <v>6</v>
      </c>
      <c r="BM34">
        <v>15001</v>
      </c>
      <c r="BN34">
        <v>0</v>
      </c>
      <c r="BO34" t="s">
        <v>6</v>
      </c>
      <c r="BP34">
        <v>0</v>
      </c>
      <c r="BQ34">
        <v>2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6</v>
      </c>
      <c r="BZ34">
        <v>105</v>
      </c>
      <c r="CA34">
        <v>55</v>
      </c>
      <c r="CF34">
        <v>0</v>
      </c>
      <c r="CG34">
        <v>0</v>
      </c>
      <c r="CM34">
        <v>0</v>
      </c>
      <c r="CN34" t="s">
        <v>6</v>
      </c>
      <c r="CO34">
        <v>0</v>
      </c>
      <c r="CP34">
        <f t="shared" si="29"/>
        <v>0</v>
      </c>
      <c r="CQ34">
        <f t="shared" si="30"/>
        <v>0</v>
      </c>
      <c r="CR34">
        <f t="shared" si="31"/>
        <v>0</v>
      </c>
      <c r="CS34">
        <f t="shared" si="32"/>
        <v>0</v>
      </c>
      <c r="CT34">
        <f t="shared" si="33"/>
        <v>0</v>
      </c>
      <c r="CU34">
        <f t="shared" si="34"/>
        <v>0</v>
      </c>
      <c r="CV34">
        <f t="shared" si="35"/>
        <v>0</v>
      </c>
      <c r="CW34">
        <f t="shared" si="36"/>
        <v>0</v>
      </c>
      <c r="CX34">
        <f t="shared" si="37"/>
        <v>0</v>
      </c>
      <c r="CY34">
        <f t="shared" si="38"/>
        <v>0</v>
      </c>
      <c r="CZ34">
        <f t="shared" si="39"/>
        <v>0</v>
      </c>
      <c r="DC34" t="s">
        <v>6</v>
      </c>
      <c r="DD34" t="s">
        <v>6</v>
      </c>
      <c r="DE34" t="s">
        <v>6</v>
      </c>
      <c r="DF34" t="s">
        <v>6</v>
      </c>
      <c r="DG34" t="s">
        <v>6</v>
      </c>
      <c r="DH34" t="s">
        <v>6</v>
      </c>
      <c r="DI34" t="s">
        <v>6</v>
      </c>
      <c r="DJ34" t="s">
        <v>6</v>
      </c>
      <c r="DK34" t="s">
        <v>6</v>
      </c>
      <c r="DL34" t="s">
        <v>6</v>
      </c>
      <c r="DM34" t="s">
        <v>6</v>
      </c>
      <c r="DN34">
        <v>0</v>
      </c>
      <c r="DO34">
        <v>0</v>
      </c>
      <c r="DP34">
        <v>1</v>
      </c>
      <c r="DQ34">
        <v>1</v>
      </c>
      <c r="DU34">
        <v>1009</v>
      </c>
      <c r="DV34" t="s">
        <v>65</v>
      </c>
      <c r="DW34" t="s">
        <v>65</v>
      </c>
      <c r="DX34">
        <v>1</v>
      </c>
      <c r="EE34">
        <v>16510513</v>
      </c>
      <c r="EF34">
        <v>2</v>
      </c>
      <c r="EG34" t="s">
        <v>18</v>
      </c>
      <c r="EH34">
        <v>0</v>
      </c>
      <c r="EI34" t="s">
        <v>6</v>
      </c>
      <c r="EJ34">
        <v>1</v>
      </c>
      <c r="EK34">
        <v>15001</v>
      </c>
      <c r="EL34" t="s">
        <v>57</v>
      </c>
      <c r="EM34" t="s">
        <v>58</v>
      </c>
      <c r="EO34" t="s">
        <v>6</v>
      </c>
      <c r="EQ34">
        <v>0</v>
      </c>
      <c r="ER34">
        <v>0</v>
      </c>
      <c r="ES34">
        <v>0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40"/>
        <v>0</v>
      </c>
      <c r="FS34">
        <v>0</v>
      </c>
      <c r="FT34" t="s">
        <v>21</v>
      </c>
      <c r="FU34" t="s">
        <v>22</v>
      </c>
      <c r="FX34">
        <v>94.5</v>
      </c>
      <c r="FY34">
        <v>46.75</v>
      </c>
      <c r="GA34" t="s">
        <v>52</v>
      </c>
      <c r="GD34">
        <v>0</v>
      </c>
      <c r="GF34">
        <v>-1516100259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1"/>
        <v>0</v>
      </c>
      <c r="GM34">
        <f t="shared" si="42"/>
        <v>0</v>
      </c>
      <c r="GN34">
        <f t="shared" si="43"/>
        <v>0</v>
      </c>
      <c r="GO34">
        <f t="shared" si="44"/>
        <v>0</v>
      </c>
      <c r="GP34">
        <f t="shared" si="45"/>
        <v>0</v>
      </c>
      <c r="GR34">
        <v>0</v>
      </c>
      <c r="GS34">
        <v>4</v>
      </c>
      <c r="GT34">
        <v>0</v>
      </c>
      <c r="GU34" t="s">
        <v>6</v>
      </c>
      <c r="GV34">
        <f t="shared" si="46"/>
        <v>0</v>
      </c>
      <c r="GW34">
        <v>1</v>
      </c>
      <c r="GX34">
        <f t="shared" si="47"/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C35">
        <f>ROW(SmtRes!A35)</f>
        <v>35</v>
      </c>
      <c r="D35">
        <f>ROW(EtalonRes!A32)</f>
        <v>32</v>
      </c>
      <c r="E35" t="s">
        <v>74</v>
      </c>
      <c r="F35" t="s">
        <v>75</v>
      </c>
      <c r="G35" t="s">
        <v>76</v>
      </c>
      <c r="H35" t="s">
        <v>77</v>
      </c>
      <c r="I35">
        <f>ROUND(163.3/100,9)</f>
        <v>1.633</v>
      </c>
      <c r="J35">
        <v>0</v>
      </c>
      <c r="O35">
        <f t="shared" si="14"/>
        <v>1059.78</v>
      </c>
      <c r="P35">
        <f t="shared" si="15"/>
        <v>375.07</v>
      </c>
      <c r="Q35">
        <f t="shared" si="16"/>
        <v>0</v>
      </c>
      <c r="R35">
        <f t="shared" si="17"/>
        <v>0</v>
      </c>
      <c r="S35">
        <f t="shared" si="18"/>
        <v>684.71</v>
      </c>
      <c r="T35">
        <f t="shared" si="19"/>
        <v>0</v>
      </c>
      <c r="U35">
        <f t="shared" si="20"/>
        <v>12.582265</v>
      </c>
      <c r="V35">
        <f t="shared" si="21"/>
        <v>0</v>
      </c>
      <c r="W35">
        <f t="shared" si="22"/>
        <v>0</v>
      </c>
      <c r="X35">
        <f t="shared" si="23"/>
        <v>725.79</v>
      </c>
      <c r="Y35">
        <f t="shared" si="24"/>
        <v>369.74</v>
      </c>
      <c r="AA35">
        <v>16628881</v>
      </c>
      <c r="AB35">
        <f t="shared" si="25"/>
        <v>101.72</v>
      </c>
      <c r="AC35">
        <f t="shared" si="26"/>
        <v>36</v>
      </c>
      <c r="AD35">
        <f>ROUND(((((ET35*1.25))-((EU35*1.25)))+AE35),2)</f>
        <v>0</v>
      </c>
      <c r="AE35">
        <f>ROUND(((EU35*1.25)),2)</f>
        <v>0</v>
      </c>
      <c r="AF35">
        <f>ROUND(((EV35*1.15)),2)</f>
        <v>65.72</v>
      </c>
      <c r="AG35">
        <f t="shared" si="27"/>
        <v>0</v>
      </c>
      <c r="AH35">
        <f>((EW35*1.15))</f>
        <v>7.7049999999999992</v>
      </c>
      <c r="AI35">
        <f>((EX35*1.25))</f>
        <v>0</v>
      </c>
      <c r="AJ35">
        <f t="shared" si="28"/>
        <v>0</v>
      </c>
      <c r="AK35">
        <v>93.15</v>
      </c>
      <c r="AL35">
        <v>36</v>
      </c>
      <c r="AM35">
        <v>0</v>
      </c>
      <c r="AN35">
        <v>0</v>
      </c>
      <c r="AO35">
        <v>57.15</v>
      </c>
      <c r="AP35">
        <v>0</v>
      </c>
      <c r="AQ35">
        <v>6.7</v>
      </c>
      <c r="AR35">
        <v>0</v>
      </c>
      <c r="AS35">
        <v>0</v>
      </c>
      <c r="AT35">
        <v>106</v>
      </c>
      <c r="AU35">
        <v>54</v>
      </c>
      <c r="AV35">
        <v>1</v>
      </c>
      <c r="AW35">
        <v>1</v>
      </c>
      <c r="AZ35">
        <v>6.38</v>
      </c>
      <c r="BA35">
        <v>6.38</v>
      </c>
      <c r="BB35">
        <v>6.38</v>
      </c>
      <c r="BC35">
        <v>6.38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78</v>
      </c>
      <c r="BM35">
        <v>10001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6.38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118</v>
      </c>
      <c r="CA35">
        <v>63</v>
      </c>
      <c r="CF35">
        <v>0</v>
      </c>
      <c r="CG35">
        <v>0</v>
      </c>
      <c r="CM35">
        <v>0</v>
      </c>
      <c r="CN35" t="s">
        <v>293</v>
      </c>
      <c r="CO35">
        <v>0</v>
      </c>
      <c r="CP35">
        <f t="shared" si="29"/>
        <v>1059.78</v>
      </c>
      <c r="CQ35">
        <f t="shared" si="30"/>
        <v>229.68</v>
      </c>
      <c r="CR35">
        <f t="shared" si="31"/>
        <v>0</v>
      </c>
      <c r="CS35">
        <f t="shared" si="32"/>
        <v>0</v>
      </c>
      <c r="CT35">
        <f t="shared" si="33"/>
        <v>419.29359999999997</v>
      </c>
      <c r="CU35">
        <f t="shared" si="34"/>
        <v>0</v>
      </c>
      <c r="CV35">
        <f t="shared" si="35"/>
        <v>7.7049999999999992</v>
      </c>
      <c r="CW35">
        <f t="shared" si="36"/>
        <v>0</v>
      </c>
      <c r="CX35">
        <f t="shared" si="37"/>
        <v>0</v>
      </c>
      <c r="CY35">
        <f t="shared" si="38"/>
        <v>725.79260000000011</v>
      </c>
      <c r="CZ35">
        <f t="shared" si="39"/>
        <v>369.74340000000007</v>
      </c>
      <c r="DC35" t="s">
        <v>6</v>
      </c>
      <c r="DD35" t="s">
        <v>6</v>
      </c>
      <c r="DE35" t="s">
        <v>27</v>
      </c>
      <c r="DF35" t="s">
        <v>27</v>
      </c>
      <c r="DG35" t="s">
        <v>28</v>
      </c>
      <c r="DH35" t="s">
        <v>6</v>
      </c>
      <c r="DI35" t="s">
        <v>28</v>
      </c>
      <c r="DJ35" t="s">
        <v>27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1003</v>
      </c>
      <c r="DV35" t="s">
        <v>77</v>
      </c>
      <c r="DW35" t="s">
        <v>77</v>
      </c>
      <c r="DX35">
        <v>100</v>
      </c>
      <c r="EE35">
        <v>16510487</v>
      </c>
      <c r="EF35">
        <v>2</v>
      </c>
      <c r="EG35" t="s">
        <v>18</v>
      </c>
      <c r="EH35">
        <v>0</v>
      </c>
      <c r="EI35" t="s">
        <v>6</v>
      </c>
      <c r="EJ35">
        <v>1</v>
      </c>
      <c r="EK35">
        <v>10001</v>
      </c>
      <c r="EL35" t="s">
        <v>29</v>
      </c>
      <c r="EM35" t="s">
        <v>30</v>
      </c>
      <c r="EO35" t="s">
        <v>31</v>
      </c>
      <c r="EQ35">
        <v>0</v>
      </c>
      <c r="ER35">
        <v>93.15</v>
      </c>
      <c r="ES35">
        <v>36</v>
      </c>
      <c r="ET35">
        <v>0</v>
      </c>
      <c r="EU35">
        <v>0</v>
      </c>
      <c r="EV35">
        <v>57.15</v>
      </c>
      <c r="EW35">
        <v>6.7</v>
      </c>
      <c r="EX35">
        <v>0</v>
      </c>
      <c r="EY35">
        <v>0</v>
      </c>
      <c r="FQ35">
        <v>0</v>
      </c>
      <c r="FR35">
        <f t="shared" si="40"/>
        <v>0</v>
      </c>
      <c r="FS35">
        <v>0</v>
      </c>
      <c r="FT35" t="s">
        <v>21</v>
      </c>
      <c r="FU35" t="s">
        <v>22</v>
      </c>
      <c r="FX35">
        <v>106.2</v>
      </c>
      <c r="FY35">
        <v>53.55</v>
      </c>
      <c r="GA35" t="s">
        <v>6</v>
      </c>
      <c r="GD35">
        <v>0</v>
      </c>
      <c r="GF35">
        <v>-1862938563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1"/>
        <v>0</v>
      </c>
      <c r="GM35">
        <f t="shared" si="42"/>
        <v>2155.31</v>
      </c>
      <c r="GN35">
        <f t="shared" si="43"/>
        <v>2155.31</v>
      </c>
      <c r="GO35">
        <f t="shared" si="44"/>
        <v>0</v>
      </c>
      <c r="GP35">
        <f t="shared" si="45"/>
        <v>0</v>
      </c>
      <c r="GR35">
        <v>0</v>
      </c>
      <c r="GS35">
        <v>3</v>
      </c>
      <c r="GT35">
        <v>0</v>
      </c>
      <c r="GU35" t="s">
        <v>6</v>
      </c>
      <c r="GV35">
        <f t="shared" si="46"/>
        <v>0</v>
      </c>
      <c r="GW35">
        <v>1</v>
      </c>
      <c r="GX35">
        <f t="shared" si="47"/>
        <v>0</v>
      </c>
      <c r="HA35">
        <v>0</v>
      </c>
      <c r="HB35">
        <v>0</v>
      </c>
      <c r="IK35">
        <v>0</v>
      </c>
    </row>
    <row r="36" spans="1:245" x14ac:dyDescent="0.2">
      <c r="A36">
        <v>18</v>
      </c>
      <c r="B36">
        <v>1</v>
      </c>
      <c r="C36">
        <v>33</v>
      </c>
      <c r="E36" t="s">
        <v>79</v>
      </c>
      <c r="F36" t="s">
        <v>80</v>
      </c>
      <c r="G36" t="s">
        <v>81</v>
      </c>
      <c r="H36" t="s">
        <v>82</v>
      </c>
      <c r="I36">
        <f>I35*J36</f>
        <v>163.30000000000001</v>
      </c>
      <c r="J36">
        <v>100</v>
      </c>
      <c r="O36">
        <f t="shared" si="14"/>
        <v>0</v>
      </c>
      <c r="P36">
        <f t="shared" si="15"/>
        <v>0</v>
      </c>
      <c r="Q36">
        <f t="shared" si="16"/>
        <v>0</v>
      </c>
      <c r="R36">
        <f t="shared" si="17"/>
        <v>0</v>
      </c>
      <c r="S36">
        <f t="shared" si="18"/>
        <v>0</v>
      </c>
      <c r="T36">
        <f t="shared" si="19"/>
        <v>0</v>
      </c>
      <c r="U36">
        <f t="shared" si="20"/>
        <v>0</v>
      </c>
      <c r="V36">
        <f t="shared" si="21"/>
        <v>0</v>
      </c>
      <c r="W36">
        <f t="shared" si="22"/>
        <v>0</v>
      </c>
      <c r="X36">
        <f t="shared" si="23"/>
        <v>0</v>
      </c>
      <c r="Y36">
        <f t="shared" si="24"/>
        <v>0</v>
      </c>
      <c r="AA36">
        <v>16628881</v>
      </c>
      <c r="AB36">
        <f t="shared" si="25"/>
        <v>0</v>
      </c>
      <c r="AC36">
        <f t="shared" si="26"/>
        <v>0</v>
      </c>
      <c r="AD36">
        <f>ROUND((((ET36)-(EU36))+AE36),2)</f>
        <v>0</v>
      </c>
      <c r="AE36">
        <f>ROUND((EU36),2)</f>
        <v>0</v>
      </c>
      <c r="AF36">
        <f>ROUND((EV36),2)</f>
        <v>0</v>
      </c>
      <c r="AG36">
        <f t="shared" si="27"/>
        <v>0</v>
      </c>
      <c r="AH36">
        <f>(EW36)</f>
        <v>0</v>
      </c>
      <c r="AI36">
        <f>(EX36)</f>
        <v>0</v>
      </c>
      <c r="AJ36">
        <f t="shared" si="28"/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106</v>
      </c>
      <c r="AU36">
        <v>54</v>
      </c>
      <c r="AV36">
        <v>1</v>
      </c>
      <c r="AW36">
        <v>1</v>
      </c>
      <c r="AZ36">
        <v>6.38</v>
      </c>
      <c r="BA36">
        <v>1</v>
      </c>
      <c r="BB36">
        <v>1</v>
      </c>
      <c r="BC36">
        <v>6.38</v>
      </c>
      <c r="BD36" t="s">
        <v>6</v>
      </c>
      <c r="BE36" t="s">
        <v>6</v>
      </c>
      <c r="BF36" t="s">
        <v>6</v>
      </c>
      <c r="BG36" t="s">
        <v>6</v>
      </c>
      <c r="BH36">
        <v>3</v>
      </c>
      <c r="BI36">
        <v>1</v>
      </c>
      <c r="BJ36" t="s">
        <v>6</v>
      </c>
      <c r="BM36">
        <v>10001</v>
      </c>
      <c r="BN36">
        <v>0</v>
      </c>
      <c r="BO36" t="s">
        <v>6</v>
      </c>
      <c r="BP36">
        <v>0</v>
      </c>
      <c r="BQ36">
        <v>2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6</v>
      </c>
      <c r="BZ36">
        <v>118</v>
      </c>
      <c r="CA36">
        <v>63</v>
      </c>
      <c r="CF36">
        <v>0</v>
      </c>
      <c r="CG36">
        <v>0</v>
      </c>
      <c r="CM36">
        <v>0</v>
      </c>
      <c r="CN36" t="s">
        <v>6</v>
      </c>
      <c r="CO36">
        <v>0</v>
      </c>
      <c r="CP36">
        <f t="shared" si="29"/>
        <v>0</v>
      </c>
      <c r="CQ36">
        <f t="shared" si="30"/>
        <v>0</v>
      </c>
      <c r="CR36">
        <f t="shared" si="31"/>
        <v>0</v>
      </c>
      <c r="CS36">
        <f t="shared" si="32"/>
        <v>0</v>
      </c>
      <c r="CT36">
        <f t="shared" si="33"/>
        <v>0</v>
      </c>
      <c r="CU36">
        <f t="shared" si="34"/>
        <v>0</v>
      </c>
      <c r="CV36">
        <f t="shared" si="35"/>
        <v>0</v>
      </c>
      <c r="CW36">
        <f t="shared" si="36"/>
        <v>0</v>
      </c>
      <c r="CX36">
        <f t="shared" si="37"/>
        <v>0</v>
      </c>
      <c r="CY36">
        <f t="shared" si="38"/>
        <v>0</v>
      </c>
      <c r="CZ36">
        <f t="shared" si="39"/>
        <v>0</v>
      </c>
      <c r="DC36" t="s">
        <v>6</v>
      </c>
      <c r="DD36" t="s">
        <v>6</v>
      </c>
      <c r="DE36" t="s">
        <v>6</v>
      </c>
      <c r="DF36" t="s">
        <v>6</v>
      </c>
      <c r="DG36" t="s">
        <v>6</v>
      </c>
      <c r="DH36" t="s">
        <v>6</v>
      </c>
      <c r="DI36" t="s">
        <v>6</v>
      </c>
      <c r="DJ36" t="s">
        <v>6</v>
      </c>
      <c r="DK36" t="s">
        <v>6</v>
      </c>
      <c r="DL36" t="s">
        <v>6</v>
      </c>
      <c r="DM36" t="s">
        <v>6</v>
      </c>
      <c r="DN36">
        <v>0</v>
      </c>
      <c r="DO36">
        <v>0</v>
      </c>
      <c r="DP36">
        <v>1</v>
      </c>
      <c r="DQ36">
        <v>1</v>
      </c>
      <c r="DU36">
        <v>1013</v>
      </c>
      <c r="DV36" t="s">
        <v>82</v>
      </c>
      <c r="DW36" t="s">
        <v>82</v>
      </c>
      <c r="DX36">
        <v>1</v>
      </c>
      <c r="EE36">
        <v>16510487</v>
      </c>
      <c r="EF36">
        <v>2</v>
      </c>
      <c r="EG36" t="s">
        <v>18</v>
      </c>
      <c r="EH36">
        <v>0</v>
      </c>
      <c r="EI36" t="s">
        <v>6</v>
      </c>
      <c r="EJ36">
        <v>1</v>
      </c>
      <c r="EK36">
        <v>10001</v>
      </c>
      <c r="EL36" t="s">
        <v>29</v>
      </c>
      <c r="EM36" t="s">
        <v>30</v>
      </c>
      <c r="EO36" t="s">
        <v>6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FQ36">
        <v>0</v>
      </c>
      <c r="FR36">
        <f t="shared" si="40"/>
        <v>0</v>
      </c>
      <c r="FS36">
        <v>0</v>
      </c>
      <c r="FT36" t="s">
        <v>21</v>
      </c>
      <c r="FU36" t="s">
        <v>22</v>
      </c>
      <c r="FX36">
        <v>106.2</v>
      </c>
      <c r="FY36">
        <v>53.55</v>
      </c>
      <c r="GA36" t="s">
        <v>6</v>
      </c>
      <c r="GD36">
        <v>0</v>
      </c>
      <c r="GF36">
        <v>-1710570218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1"/>
        <v>0</v>
      </c>
      <c r="GM36">
        <f t="shared" si="42"/>
        <v>0</v>
      </c>
      <c r="GN36">
        <f t="shared" si="43"/>
        <v>0</v>
      </c>
      <c r="GO36">
        <f t="shared" si="44"/>
        <v>0</v>
      </c>
      <c r="GP36">
        <f t="shared" si="45"/>
        <v>0</v>
      </c>
      <c r="GR36">
        <v>0</v>
      </c>
      <c r="GS36">
        <v>3</v>
      </c>
      <c r="GT36">
        <v>0</v>
      </c>
      <c r="GU36" t="s">
        <v>6</v>
      </c>
      <c r="GV36">
        <f t="shared" si="46"/>
        <v>0</v>
      </c>
      <c r="GW36">
        <v>1</v>
      </c>
      <c r="GX36">
        <f t="shared" si="47"/>
        <v>0</v>
      </c>
      <c r="HA36">
        <v>0</v>
      </c>
      <c r="HB36">
        <v>0</v>
      </c>
      <c r="IK36">
        <v>0</v>
      </c>
    </row>
    <row r="37" spans="1:245" x14ac:dyDescent="0.2">
      <c r="A37">
        <v>18</v>
      </c>
      <c r="B37">
        <v>1</v>
      </c>
      <c r="C37">
        <v>34</v>
      </c>
      <c r="E37" t="s">
        <v>83</v>
      </c>
      <c r="F37" t="s">
        <v>84</v>
      </c>
      <c r="G37" t="s">
        <v>85</v>
      </c>
      <c r="H37" t="s">
        <v>86</v>
      </c>
      <c r="I37">
        <f>I35*J37</f>
        <v>16.329999999999998</v>
      </c>
      <c r="J37">
        <v>9.9999999999999982</v>
      </c>
      <c r="O37">
        <f t="shared" si="14"/>
        <v>2667.15</v>
      </c>
      <c r="P37">
        <f t="shared" si="15"/>
        <v>2667.15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16628881</v>
      </c>
      <c r="AB37">
        <f t="shared" si="25"/>
        <v>25.6</v>
      </c>
      <c r="AC37">
        <f t="shared" si="26"/>
        <v>25.6</v>
      </c>
      <c r="AD37">
        <f>ROUND((((ET37)-(EU37))+AE37),2)</f>
        <v>0</v>
      </c>
      <c r="AE37">
        <f>ROUND((EU37),2)</f>
        <v>0</v>
      </c>
      <c r="AF37">
        <f>ROUND((EV37),2)</f>
        <v>0</v>
      </c>
      <c r="AG37">
        <f t="shared" si="27"/>
        <v>0</v>
      </c>
      <c r="AH37">
        <f>(EW37)</f>
        <v>0</v>
      </c>
      <c r="AI37">
        <f>(EX37)</f>
        <v>0</v>
      </c>
      <c r="AJ37">
        <f t="shared" si="28"/>
        <v>0</v>
      </c>
      <c r="AK37">
        <v>25.6</v>
      </c>
      <c r="AL37">
        <v>25.6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106</v>
      </c>
      <c r="AU37">
        <v>54</v>
      </c>
      <c r="AV37">
        <v>1</v>
      </c>
      <c r="AW37">
        <v>1</v>
      </c>
      <c r="AZ37">
        <v>6.38</v>
      </c>
      <c r="BA37">
        <v>1</v>
      </c>
      <c r="BB37">
        <v>1</v>
      </c>
      <c r="BC37">
        <v>6.38</v>
      </c>
      <c r="BD37" t="s">
        <v>6</v>
      </c>
      <c r="BE37" t="s">
        <v>6</v>
      </c>
      <c r="BF37" t="s">
        <v>6</v>
      </c>
      <c r="BG37" t="s">
        <v>6</v>
      </c>
      <c r="BH37">
        <v>3</v>
      </c>
      <c r="BI37">
        <v>1</v>
      </c>
      <c r="BJ37" t="s">
        <v>87</v>
      </c>
      <c r="BM37">
        <v>10001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118</v>
      </c>
      <c r="CA37">
        <v>63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29"/>
        <v>2667.15</v>
      </c>
      <c r="CQ37">
        <f t="shared" si="30"/>
        <v>163.328</v>
      </c>
      <c r="CR37">
        <f t="shared" si="31"/>
        <v>0</v>
      </c>
      <c r="CS37">
        <f t="shared" si="32"/>
        <v>0</v>
      </c>
      <c r="CT37">
        <f t="shared" si="33"/>
        <v>0</v>
      </c>
      <c r="CU37">
        <f t="shared" si="34"/>
        <v>0</v>
      </c>
      <c r="CV37">
        <f t="shared" si="35"/>
        <v>0</v>
      </c>
      <c r="CW37">
        <f t="shared" si="36"/>
        <v>0</v>
      </c>
      <c r="CX37">
        <f t="shared" si="37"/>
        <v>0</v>
      </c>
      <c r="CY37">
        <f t="shared" si="38"/>
        <v>0</v>
      </c>
      <c r="CZ37">
        <f t="shared" si="39"/>
        <v>0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1003</v>
      </c>
      <c r="DV37" t="s">
        <v>86</v>
      </c>
      <c r="DW37" t="s">
        <v>86</v>
      </c>
      <c r="DX37">
        <v>10</v>
      </c>
      <c r="EE37">
        <v>16510487</v>
      </c>
      <c r="EF37">
        <v>2</v>
      </c>
      <c r="EG37" t="s">
        <v>18</v>
      </c>
      <c r="EH37">
        <v>0</v>
      </c>
      <c r="EI37" t="s">
        <v>6</v>
      </c>
      <c r="EJ37">
        <v>1</v>
      </c>
      <c r="EK37">
        <v>10001</v>
      </c>
      <c r="EL37" t="s">
        <v>29</v>
      </c>
      <c r="EM37" t="s">
        <v>30</v>
      </c>
      <c r="EO37" t="s">
        <v>6</v>
      </c>
      <c r="EQ37">
        <v>0</v>
      </c>
      <c r="ER37">
        <v>25.6</v>
      </c>
      <c r="ES37">
        <v>25.6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0"/>
        <v>0</v>
      </c>
      <c r="FS37">
        <v>0</v>
      </c>
      <c r="FT37" t="s">
        <v>21</v>
      </c>
      <c r="FU37" t="s">
        <v>22</v>
      </c>
      <c r="FX37">
        <v>106.2</v>
      </c>
      <c r="FY37">
        <v>53.55</v>
      </c>
      <c r="GA37" t="s">
        <v>6</v>
      </c>
      <c r="GD37">
        <v>0</v>
      </c>
      <c r="GF37">
        <v>189188006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1"/>
        <v>0</v>
      </c>
      <c r="GM37">
        <f t="shared" si="42"/>
        <v>2667.15</v>
      </c>
      <c r="GN37">
        <f t="shared" si="43"/>
        <v>2667.15</v>
      </c>
      <c r="GO37">
        <f t="shared" si="44"/>
        <v>0</v>
      </c>
      <c r="GP37">
        <f t="shared" si="45"/>
        <v>0</v>
      </c>
      <c r="GR37">
        <v>0</v>
      </c>
      <c r="GS37">
        <v>3</v>
      </c>
      <c r="GT37">
        <v>0</v>
      </c>
      <c r="GU37" t="s">
        <v>6</v>
      </c>
      <c r="GV37">
        <f t="shared" si="46"/>
        <v>0</v>
      </c>
      <c r="GW37">
        <v>1</v>
      </c>
      <c r="GX37">
        <f t="shared" si="47"/>
        <v>0</v>
      </c>
      <c r="HA37">
        <v>0</v>
      </c>
      <c r="HB37">
        <v>0</v>
      </c>
      <c r="IK37">
        <v>0</v>
      </c>
    </row>
    <row r="38" spans="1:245" x14ac:dyDescent="0.2">
      <c r="A38">
        <v>17</v>
      </c>
      <c r="B38">
        <v>1</v>
      </c>
      <c r="C38">
        <f>ROW(SmtRes!A42)</f>
        <v>42</v>
      </c>
      <c r="D38">
        <f>ROW(EtalonRes!A39)</f>
        <v>39</v>
      </c>
      <c r="E38" t="s">
        <v>88</v>
      </c>
      <c r="F38" t="s">
        <v>89</v>
      </c>
      <c r="G38" t="s">
        <v>90</v>
      </c>
      <c r="H38" t="s">
        <v>77</v>
      </c>
      <c r="I38">
        <f>ROUND(59.8/100,9)</f>
        <v>0.59799999999999998</v>
      </c>
      <c r="J38">
        <v>0</v>
      </c>
      <c r="O38">
        <f t="shared" si="14"/>
        <v>16077.23</v>
      </c>
      <c r="P38">
        <f t="shared" si="15"/>
        <v>15231.2</v>
      </c>
      <c r="Q38">
        <f t="shared" si="16"/>
        <v>52.99</v>
      </c>
      <c r="R38">
        <f t="shared" si="17"/>
        <v>10.87</v>
      </c>
      <c r="S38">
        <f t="shared" si="18"/>
        <v>793.04</v>
      </c>
      <c r="T38">
        <f t="shared" si="19"/>
        <v>0</v>
      </c>
      <c r="U38">
        <f t="shared" si="20"/>
        <v>14.572362999999999</v>
      </c>
      <c r="V38">
        <f t="shared" si="21"/>
        <v>0.14202499999999998</v>
      </c>
      <c r="W38">
        <f t="shared" si="22"/>
        <v>0</v>
      </c>
      <c r="X38">
        <f t="shared" si="23"/>
        <v>852.14</v>
      </c>
      <c r="Y38">
        <f t="shared" si="24"/>
        <v>434.11</v>
      </c>
      <c r="AA38">
        <v>16628881</v>
      </c>
      <c r="AB38">
        <f t="shared" si="25"/>
        <v>4213.95</v>
      </c>
      <c r="AC38">
        <f t="shared" si="26"/>
        <v>3992.2</v>
      </c>
      <c r="AD38">
        <f>ROUND(((((ET38*1.25))-((EU38*1.25)))+AE38),2)</f>
        <v>13.89</v>
      </c>
      <c r="AE38">
        <f>ROUND(((EU38*1.25)),2)</f>
        <v>2.85</v>
      </c>
      <c r="AF38">
        <f>ROUND(((EV38*1.15)),2)</f>
        <v>207.86</v>
      </c>
      <c r="AG38">
        <f t="shared" si="27"/>
        <v>0</v>
      </c>
      <c r="AH38">
        <f>((EW38*1.15))</f>
        <v>24.368500000000001</v>
      </c>
      <c r="AI38">
        <f>((EX38*1.25))</f>
        <v>0.23749999999999999</v>
      </c>
      <c r="AJ38">
        <f t="shared" si="28"/>
        <v>0</v>
      </c>
      <c r="AK38">
        <v>4184.0600000000004</v>
      </c>
      <c r="AL38">
        <v>3992.2</v>
      </c>
      <c r="AM38">
        <v>11.11</v>
      </c>
      <c r="AN38">
        <v>2.2799999999999998</v>
      </c>
      <c r="AO38">
        <v>180.75</v>
      </c>
      <c r="AP38">
        <v>0</v>
      </c>
      <c r="AQ38">
        <v>21.19</v>
      </c>
      <c r="AR38">
        <v>0.19</v>
      </c>
      <c r="AS38">
        <v>0</v>
      </c>
      <c r="AT38">
        <v>106</v>
      </c>
      <c r="AU38">
        <v>54</v>
      </c>
      <c r="AV38">
        <v>1</v>
      </c>
      <c r="AW38">
        <v>1</v>
      </c>
      <c r="AZ38">
        <v>6.38</v>
      </c>
      <c r="BA38">
        <v>6.38</v>
      </c>
      <c r="BB38">
        <v>6.38</v>
      </c>
      <c r="BC38">
        <v>6.38</v>
      </c>
      <c r="BD38" t="s">
        <v>6</v>
      </c>
      <c r="BE38" t="s">
        <v>6</v>
      </c>
      <c r="BF38" t="s">
        <v>6</v>
      </c>
      <c r="BG38" t="s">
        <v>6</v>
      </c>
      <c r="BH38">
        <v>0</v>
      </c>
      <c r="BI38">
        <v>1</v>
      </c>
      <c r="BJ38" t="s">
        <v>91</v>
      </c>
      <c r="BM38">
        <v>10001</v>
      </c>
      <c r="BN38">
        <v>0</v>
      </c>
      <c r="BO38" t="s">
        <v>6</v>
      </c>
      <c r="BP38">
        <v>0</v>
      </c>
      <c r="BQ38">
        <v>2</v>
      </c>
      <c r="BR38">
        <v>0</v>
      </c>
      <c r="BS38">
        <v>6.38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6</v>
      </c>
      <c r="BZ38">
        <v>118</v>
      </c>
      <c r="CA38">
        <v>63</v>
      </c>
      <c r="CF38">
        <v>0</v>
      </c>
      <c r="CG38">
        <v>0</v>
      </c>
      <c r="CM38">
        <v>0</v>
      </c>
      <c r="CN38" t="s">
        <v>293</v>
      </c>
      <c r="CO38">
        <v>0</v>
      </c>
      <c r="CP38">
        <f t="shared" si="29"/>
        <v>16077.23</v>
      </c>
      <c r="CQ38">
        <f t="shared" si="30"/>
        <v>25470.235999999997</v>
      </c>
      <c r="CR38">
        <f t="shared" si="31"/>
        <v>88.618200000000002</v>
      </c>
      <c r="CS38">
        <f t="shared" si="32"/>
        <v>18.183</v>
      </c>
      <c r="CT38">
        <f t="shared" si="33"/>
        <v>1326.1468</v>
      </c>
      <c r="CU38">
        <f t="shared" si="34"/>
        <v>0</v>
      </c>
      <c r="CV38">
        <f t="shared" si="35"/>
        <v>24.368500000000001</v>
      </c>
      <c r="CW38">
        <f t="shared" si="36"/>
        <v>0.23749999999999999</v>
      </c>
      <c r="CX38">
        <f t="shared" si="37"/>
        <v>0</v>
      </c>
      <c r="CY38">
        <f t="shared" si="38"/>
        <v>852.14459999999997</v>
      </c>
      <c r="CZ38">
        <f t="shared" si="39"/>
        <v>434.1114</v>
      </c>
      <c r="DC38" t="s">
        <v>6</v>
      </c>
      <c r="DD38" t="s">
        <v>6</v>
      </c>
      <c r="DE38" t="s">
        <v>27</v>
      </c>
      <c r="DF38" t="s">
        <v>27</v>
      </c>
      <c r="DG38" t="s">
        <v>28</v>
      </c>
      <c r="DH38" t="s">
        <v>6</v>
      </c>
      <c r="DI38" t="s">
        <v>28</v>
      </c>
      <c r="DJ38" t="s">
        <v>27</v>
      </c>
      <c r="DK38" t="s">
        <v>6</v>
      </c>
      <c r="DL38" t="s">
        <v>6</v>
      </c>
      <c r="DM38" t="s">
        <v>6</v>
      </c>
      <c r="DN38">
        <v>0</v>
      </c>
      <c r="DO38">
        <v>0</v>
      </c>
      <c r="DP38">
        <v>1</v>
      </c>
      <c r="DQ38">
        <v>1</v>
      </c>
      <c r="DU38">
        <v>1003</v>
      </c>
      <c r="DV38" t="s">
        <v>77</v>
      </c>
      <c r="DW38" t="s">
        <v>77</v>
      </c>
      <c r="DX38">
        <v>100</v>
      </c>
      <c r="EE38">
        <v>16510487</v>
      </c>
      <c r="EF38">
        <v>2</v>
      </c>
      <c r="EG38" t="s">
        <v>18</v>
      </c>
      <c r="EH38">
        <v>0</v>
      </c>
      <c r="EI38" t="s">
        <v>6</v>
      </c>
      <c r="EJ38">
        <v>1</v>
      </c>
      <c r="EK38">
        <v>10001</v>
      </c>
      <c r="EL38" t="s">
        <v>29</v>
      </c>
      <c r="EM38" t="s">
        <v>30</v>
      </c>
      <c r="EO38" t="s">
        <v>31</v>
      </c>
      <c r="EQ38">
        <v>131072</v>
      </c>
      <c r="ER38">
        <v>4184.0600000000004</v>
      </c>
      <c r="ES38">
        <v>3992.2</v>
      </c>
      <c r="ET38">
        <v>11.11</v>
      </c>
      <c r="EU38">
        <v>2.2799999999999998</v>
      </c>
      <c r="EV38">
        <v>180.75</v>
      </c>
      <c r="EW38">
        <v>21.19</v>
      </c>
      <c r="EX38">
        <v>0.19</v>
      </c>
      <c r="EY38">
        <v>0</v>
      </c>
      <c r="FQ38">
        <v>0</v>
      </c>
      <c r="FR38">
        <f t="shared" si="40"/>
        <v>0</v>
      </c>
      <c r="FS38">
        <v>0</v>
      </c>
      <c r="FT38" t="s">
        <v>21</v>
      </c>
      <c r="FU38" t="s">
        <v>22</v>
      </c>
      <c r="FX38">
        <v>106.2</v>
      </c>
      <c r="FY38">
        <v>53.55</v>
      </c>
      <c r="GA38" t="s">
        <v>6</v>
      </c>
      <c r="GD38">
        <v>0</v>
      </c>
      <c r="GF38">
        <v>756108961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1"/>
        <v>0</v>
      </c>
      <c r="GM38">
        <f t="shared" si="42"/>
        <v>17363.48</v>
      </c>
      <c r="GN38">
        <f t="shared" si="43"/>
        <v>17363.48</v>
      </c>
      <c r="GO38">
        <f t="shared" si="44"/>
        <v>0</v>
      </c>
      <c r="GP38">
        <f t="shared" si="45"/>
        <v>0</v>
      </c>
      <c r="GR38">
        <v>0</v>
      </c>
      <c r="GS38">
        <v>3</v>
      </c>
      <c r="GT38">
        <v>0</v>
      </c>
      <c r="GU38" t="s">
        <v>6</v>
      </c>
      <c r="GV38">
        <f t="shared" si="46"/>
        <v>0</v>
      </c>
      <c r="GW38">
        <v>1</v>
      </c>
      <c r="GX38">
        <f t="shared" si="47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42</v>
      </c>
      <c r="E39" t="s">
        <v>92</v>
      </c>
      <c r="F39" t="s">
        <v>33</v>
      </c>
      <c r="G39" t="s">
        <v>93</v>
      </c>
      <c r="H39" t="s">
        <v>45</v>
      </c>
      <c r="I39">
        <f>I38*J39</f>
        <v>59.8</v>
      </c>
      <c r="J39">
        <v>100</v>
      </c>
      <c r="O39">
        <f t="shared" si="14"/>
        <v>75190.75</v>
      </c>
      <c r="P39">
        <f t="shared" si="15"/>
        <v>75190.75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16628881</v>
      </c>
      <c r="AB39">
        <f t="shared" si="25"/>
        <v>197.08</v>
      </c>
      <c r="AC39">
        <f t="shared" si="26"/>
        <v>197.08</v>
      </c>
      <c r="AD39">
        <f>ROUND((((ET39)-(EU39))+AE39),2)</f>
        <v>0</v>
      </c>
      <c r="AE39">
        <f>ROUND((EU39),2)</f>
        <v>0</v>
      </c>
      <c r="AF39">
        <f>ROUND((EV39),2)</f>
        <v>0</v>
      </c>
      <c r="AG39">
        <f t="shared" si="27"/>
        <v>0</v>
      </c>
      <c r="AH39">
        <f>(EW39)</f>
        <v>0</v>
      </c>
      <c r="AI39">
        <f>(EX39)</f>
        <v>0</v>
      </c>
      <c r="AJ39">
        <f t="shared" si="28"/>
        <v>0</v>
      </c>
      <c r="AK39">
        <v>197.08</v>
      </c>
      <c r="AL39">
        <v>197.08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106</v>
      </c>
      <c r="AU39">
        <v>54</v>
      </c>
      <c r="AV39">
        <v>1</v>
      </c>
      <c r="AW39">
        <v>1</v>
      </c>
      <c r="AZ39">
        <v>6.38</v>
      </c>
      <c r="BA39">
        <v>1</v>
      </c>
      <c r="BB39">
        <v>1</v>
      </c>
      <c r="BC39">
        <v>6.38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6</v>
      </c>
      <c r="BM39">
        <v>10001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118</v>
      </c>
      <c r="CA39">
        <v>63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29"/>
        <v>75190.75</v>
      </c>
      <c r="CQ39">
        <f t="shared" si="30"/>
        <v>1257.3704</v>
      </c>
      <c r="CR39">
        <f t="shared" si="31"/>
        <v>0</v>
      </c>
      <c r="CS39">
        <f t="shared" si="32"/>
        <v>0</v>
      </c>
      <c r="CT39">
        <f t="shared" si="33"/>
        <v>0</v>
      </c>
      <c r="CU39">
        <f t="shared" si="34"/>
        <v>0</v>
      </c>
      <c r="CV39">
        <f t="shared" si="35"/>
        <v>0</v>
      </c>
      <c r="CW39">
        <f t="shared" si="36"/>
        <v>0</v>
      </c>
      <c r="CX39">
        <f t="shared" si="37"/>
        <v>0</v>
      </c>
      <c r="CY39">
        <f t="shared" si="38"/>
        <v>0</v>
      </c>
      <c r="CZ39">
        <f t="shared" si="39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1003</v>
      </c>
      <c r="DV39" t="s">
        <v>45</v>
      </c>
      <c r="DW39" t="s">
        <v>45</v>
      </c>
      <c r="DX39">
        <v>1</v>
      </c>
      <c r="EE39">
        <v>16510487</v>
      </c>
      <c r="EF39">
        <v>2</v>
      </c>
      <c r="EG39" t="s">
        <v>18</v>
      </c>
      <c r="EH39">
        <v>0</v>
      </c>
      <c r="EI39" t="s">
        <v>6</v>
      </c>
      <c r="EJ39">
        <v>1</v>
      </c>
      <c r="EK39">
        <v>10001</v>
      </c>
      <c r="EL39" t="s">
        <v>29</v>
      </c>
      <c r="EM39" t="s">
        <v>30</v>
      </c>
      <c r="EO39" t="s">
        <v>6</v>
      </c>
      <c r="EQ39">
        <v>0</v>
      </c>
      <c r="ER39">
        <v>197.08</v>
      </c>
      <c r="ES39">
        <v>197.08</v>
      </c>
      <c r="ET39">
        <v>0</v>
      </c>
      <c r="EU39">
        <v>0</v>
      </c>
      <c r="EV39">
        <v>0</v>
      </c>
      <c r="EW39">
        <v>0</v>
      </c>
      <c r="EX39">
        <v>0</v>
      </c>
      <c r="EZ39">
        <v>5</v>
      </c>
      <c r="FC39">
        <v>1</v>
      </c>
      <c r="FD39">
        <v>18</v>
      </c>
      <c r="FF39">
        <v>1483.67</v>
      </c>
      <c r="FQ39">
        <v>0</v>
      </c>
      <c r="FR39">
        <f t="shared" si="40"/>
        <v>0</v>
      </c>
      <c r="FS39">
        <v>0</v>
      </c>
      <c r="FT39" t="s">
        <v>21</v>
      </c>
      <c r="FU39" t="s">
        <v>22</v>
      </c>
      <c r="FX39">
        <v>106.2</v>
      </c>
      <c r="FY39">
        <v>53.55</v>
      </c>
      <c r="GA39" t="s">
        <v>94</v>
      </c>
      <c r="GD39">
        <v>0</v>
      </c>
      <c r="GF39">
        <v>-961144730</v>
      </c>
      <c r="GG39">
        <v>1</v>
      </c>
      <c r="GH39">
        <v>3</v>
      </c>
      <c r="GI39">
        <v>4</v>
      </c>
      <c r="GJ39">
        <v>0</v>
      </c>
      <c r="GK39">
        <f>ROUND(R39*(R12)/100,2)</f>
        <v>0</v>
      </c>
      <c r="GL39">
        <f t="shared" si="41"/>
        <v>0</v>
      </c>
      <c r="GM39">
        <f t="shared" si="42"/>
        <v>75190.75</v>
      </c>
      <c r="GN39">
        <f t="shared" si="43"/>
        <v>75190.75</v>
      </c>
      <c r="GO39">
        <f t="shared" si="44"/>
        <v>0</v>
      </c>
      <c r="GP39">
        <f t="shared" si="45"/>
        <v>0</v>
      </c>
      <c r="GR39">
        <v>1</v>
      </c>
      <c r="GS39">
        <v>1</v>
      </c>
      <c r="GT39">
        <v>0</v>
      </c>
      <c r="GU39" t="s">
        <v>6</v>
      </c>
      <c r="GV39">
        <f t="shared" si="46"/>
        <v>0</v>
      </c>
      <c r="GW39">
        <v>1</v>
      </c>
      <c r="GX39">
        <f t="shared" si="47"/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E40" t="s">
        <v>95</v>
      </c>
      <c r="F40" t="s">
        <v>96</v>
      </c>
      <c r="G40" t="s">
        <v>97</v>
      </c>
      <c r="H40" t="s">
        <v>98</v>
      </c>
      <c r="I40">
        <v>6</v>
      </c>
      <c r="J40">
        <v>0</v>
      </c>
      <c r="O40">
        <f>0</f>
        <v>0</v>
      </c>
      <c r="P40">
        <f>0</f>
        <v>0</v>
      </c>
      <c r="Q40">
        <f>0</f>
        <v>0</v>
      </c>
      <c r="R40">
        <f>0</f>
        <v>0</v>
      </c>
      <c r="S40">
        <f>0</f>
        <v>0</v>
      </c>
      <c r="T40">
        <f>0</f>
        <v>0</v>
      </c>
      <c r="U40">
        <f>0</f>
        <v>0</v>
      </c>
      <c r="V40">
        <f>0</f>
        <v>0</v>
      </c>
      <c r="W40">
        <f>0</f>
        <v>0</v>
      </c>
      <c r="X40">
        <f>0</f>
        <v>0</v>
      </c>
      <c r="Y40">
        <f>0</f>
        <v>0</v>
      </c>
      <c r="AA40">
        <v>16628881</v>
      </c>
      <c r="AB40">
        <f>ROUND((AK40),2)</f>
        <v>42.98</v>
      </c>
      <c r="AC40">
        <f>0</f>
        <v>0</v>
      </c>
      <c r="AD40">
        <f>0</f>
        <v>0</v>
      </c>
      <c r="AE40">
        <f>0</f>
        <v>0</v>
      </c>
      <c r="AF40">
        <f>0</f>
        <v>0</v>
      </c>
      <c r="AG40">
        <f>0</f>
        <v>0</v>
      </c>
      <c r="AH40">
        <f>0</f>
        <v>0</v>
      </c>
      <c r="AI40">
        <f>0</f>
        <v>0</v>
      </c>
      <c r="AJ40">
        <f>0</f>
        <v>0</v>
      </c>
      <c r="AK40">
        <v>42.98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1</v>
      </c>
      <c r="AW40">
        <v>1</v>
      </c>
      <c r="AZ40">
        <v>6.38</v>
      </c>
      <c r="BA40">
        <v>1</v>
      </c>
      <c r="BB40">
        <v>1</v>
      </c>
      <c r="BC40">
        <v>1</v>
      </c>
      <c r="BD40" t="s">
        <v>6</v>
      </c>
      <c r="BE40" t="s">
        <v>6</v>
      </c>
      <c r="BF40" t="s">
        <v>6</v>
      </c>
      <c r="BG40" t="s">
        <v>6</v>
      </c>
      <c r="BH40">
        <v>0</v>
      </c>
      <c r="BI40">
        <v>1</v>
      </c>
      <c r="BJ40" t="s">
        <v>99</v>
      </c>
      <c r="BM40">
        <v>700004</v>
      </c>
      <c r="BN40">
        <v>0</v>
      </c>
      <c r="BO40" t="s">
        <v>6</v>
      </c>
      <c r="BP40">
        <v>0</v>
      </c>
      <c r="BQ40">
        <v>19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6</v>
      </c>
      <c r="BZ40">
        <v>0</v>
      </c>
      <c r="CA40">
        <v>0</v>
      </c>
      <c r="CF40">
        <v>0</v>
      </c>
      <c r="CG40">
        <v>0</v>
      </c>
      <c r="CM40">
        <v>0</v>
      </c>
      <c r="CN40" t="s">
        <v>6</v>
      </c>
      <c r="CO40">
        <v>0</v>
      </c>
      <c r="CP40">
        <f>AB40*AZ40</f>
        <v>274.2124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C40" t="s">
        <v>6</v>
      </c>
      <c r="DD40" t="s">
        <v>6</v>
      </c>
      <c r="DE40" t="s">
        <v>6</v>
      </c>
      <c r="DF40" t="s">
        <v>6</v>
      </c>
      <c r="DG40" t="s">
        <v>6</v>
      </c>
      <c r="DH40" t="s">
        <v>6</v>
      </c>
      <c r="DI40" t="s">
        <v>6</v>
      </c>
      <c r="DJ40" t="s">
        <v>6</v>
      </c>
      <c r="DK40" t="s">
        <v>6</v>
      </c>
      <c r="DL40" t="s">
        <v>6</v>
      </c>
      <c r="DM40" t="s">
        <v>6</v>
      </c>
      <c r="DN40">
        <v>0</v>
      </c>
      <c r="DO40">
        <v>0</v>
      </c>
      <c r="DP40">
        <v>1</v>
      </c>
      <c r="DQ40">
        <v>1</v>
      </c>
      <c r="DU40">
        <v>1013</v>
      </c>
      <c r="DV40" t="s">
        <v>98</v>
      </c>
      <c r="DW40" t="s">
        <v>98</v>
      </c>
      <c r="DX40">
        <v>1</v>
      </c>
      <c r="EE40">
        <v>16510675</v>
      </c>
      <c r="EF40">
        <v>19</v>
      </c>
      <c r="EG40" t="s">
        <v>100</v>
      </c>
      <c r="EH40">
        <v>0</v>
      </c>
      <c r="EI40" t="s">
        <v>6</v>
      </c>
      <c r="EJ40">
        <v>1</v>
      </c>
      <c r="EK40">
        <v>700004</v>
      </c>
      <c r="EL40" t="s">
        <v>101</v>
      </c>
      <c r="EM40" t="s">
        <v>102</v>
      </c>
      <c r="EO40" t="s">
        <v>6</v>
      </c>
      <c r="EQ40">
        <v>131072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EY40">
        <v>0</v>
      </c>
      <c r="FQ40">
        <v>0</v>
      </c>
      <c r="FR40">
        <f t="shared" si="40"/>
        <v>0</v>
      </c>
      <c r="FS40">
        <v>0</v>
      </c>
      <c r="FX40">
        <v>0</v>
      </c>
      <c r="FY40">
        <v>0</v>
      </c>
      <c r="GA40" t="s">
        <v>6</v>
      </c>
      <c r="GD40">
        <v>0</v>
      </c>
      <c r="GF40">
        <v>811861299</v>
      </c>
      <c r="GG40">
        <v>1</v>
      </c>
      <c r="GH40">
        <v>1</v>
      </c>
      <c r="GI40">
        <v>4</v>
      </c>
      <c r="GJ40">
        <v>2</v>
      </c>
      <c r="GK40">
        <f>ROUND(R40*(R12)/100,2)</f>
        <v>0</v>
      </c>
      <c r="GL40">
        <f t="shared" si="41"/>
        <v>0</v>
      </c>
      <c r="GM40">
        <f>ROUND(CP40*I40,2)</f>
        <v>1645.27</v>
      </c>
      <c r="GN40">
        <f>IF(OR(BI40=0,BI40=1),ROUND(CP40*I40,2),0)</f>
        <v>1645.27</v>
      </c>
      <c r="GO40">
        <f>IF(BI40=2,ROUND(CP40*I40,2),0)</f>
        <v>0</v>
      </c>
      <c r="GP40">
        <f>IF(BI40=4,ROUND(CP40*I40,2)+GX40,0)</f>
        <v>0</v>
      </c>
      <c r="GR40">
        <v>0</v>
      </c>
      <c r="GS40">
        <v>3</v>
      </c>
      <c r="GU40" t="s">
        <v>6</v>
      </c>
      <c r="GV40">
        <f>0</f>
        <v>0</v>
      </c>
      <c r="GW40">
        <v>1</v>
      </c>
      <c r="GX40">
        <f t="shared" si="47"/>
        <v>0</v>
      </c>
      <c r="GY40">
        <v>0</v>
      </c>
      <c r="GZ40">
        <v>0</v>
      </c>
      <c r="HA40">
        <v>0</v>
      </c>
      <c r="HB40">
        <v>0</v>
      </c>
      <c r="IK40">
        <v>0</v>
      </c>
    </row>
    <row r="41" spans="1:245" x14ac:dyDescent="0.2">
      <c r="A41">
        <v>17</v>
      </c>
      <c r="B41">
        <v>1</v>
      </c>
      <c r="E41" t="s">
        <v>103</v>
      </c>
      <c r="F41" t="s">
        <v>104</v>
      </c>
      <c r="G41" t="s">
        <v>105</v>
      </c>
      <c r="H41" t="s">
        <v>98</v>
      </c>
      <c r="I41">
        <v>6</v>
      </c>
      <c r="J41">
        <v>0</v>
      </c>
      <c r="O41">
        <f>0</f>
        <v>0</v>
      </c>
      <c r="P41">
        <f>0</f>
        <v>0</v>
      </c>
      <c r="Q41">
        <f>0</f>
        <v>0</v>
      </c>
      <c r="R41">
        <f>0</f>
        <v>0</v>
      </c>
      <c r="S41">
        <f>0</f>
        <v>0</v>
      </c>
      <c r="T41">
        <f>0</f>
        <v>0</v>
      </c>
      <c r="U41">
        <f>0</f>
        <v>0</v>
      </c>
      <c r="V41">
        <f>0</f>
        <v>0</v>
      </c>
      <c r="W41">
        <f>0</f>
        <v>0</v>
      </c>
      <c r="X41">
        <f>0</f>
        <v>0</v>
      </c>
      <c r="Y41">
        <f>0</f>
        <v>0</v>
      </c>
      <c r="AA41">
        <v>16628881</v>
      </c>
      <c r="AB41">
        <f>ROUND((AK41),2)</f>
        <v>14.03</v>
      </c>
      <c r="AC41">
        <f>0</f>
        <v>0</v>
      </c>
      <c r="AD41">
        <f>0</f>
        <v>0</v>
      </c>
      <c r="AE41">
        <f>0</f>
        <v>0</v>
      </c>
      <c r="AF41">
        <f>0</f>
        <v>0</v>
      </c>
      <c r="AG41">
        <f>0</f>
        <v>0</v>
      </c>
      <c r="AH41">
        <f>0</f>
        <v>0</v>
      </c>
      <c r="AI41">
        <f>0</f>
        <v>0</v>
      </c>
      <c r="AJ41">
        <f>0</f>
        <v>0</v>
      </c>
      <c r="AK41">
        <v>14.03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1</v>
      </c>
      <c r="AW41">
        <v>1</v>
      </c>
      <c r="AZ41">
        <v>6.38</v>
      </c>
      <c r="BA41">
        <v>1</v>
      </c>
      <c r="BB41">
        <v>1</v>
      </c>
      <c r="BC41">
        <v>1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106</v>
      </c>
      <c r="BM41">
        <v>700005</v>
      </c>
      <c r="BN41">
        <v>0</v>
      </c>
      <c r="BO41" t="s">
        <v>6</v>
      </c>
      <c r="BP41">
        <v>0</v>
      </c>
      <c r="BQ41">
        <v>10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0</v>
      </c>
      <c r="CA41">
        <v>0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>AB41*AZ41</f>
        <v>89.511399999999995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1013</v>
      </c>
      <c r="DV41" t="s">
        <v>98</v>
      </c>
      <c r="DW41" t="s">
        <v>98</v>
      </c>
      <c r="DX41">
        <v>1</v>
      </c>
      <c r="EE41">
        <v>16510679</v>
      </c>
      <c r="EF41">
        <v>10</v>
      </c>
      <c r="EG41" t="s">
        <v>107</v>
      </c>
      <c r="EH41">
        <v>0</v>
      </c>
      <c r="EI41" t="s">
        <v>6</v>
      </c>
      <c r="EJ41">
        <v>1</v>
      </c>
      <c r="EK41">
        <v>700005</v>
      </c>
      <c r="EL41" t="s">
        <v>108</v>
      </c>
      <c r="EM41" t="s">
        <v>109</v>
      </c>
      <c r="EO41" t="s">
        <v>6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FQ41">
        <v>0</v>
      </c>
      <c r="FR41">
        <f t="shared" si="40"/>
        <v>0</v>
      </c>
      <c r="FS41">
        <v>0</v>
      </c>
      <c r="FX41">
        <v>0</v>
      </c>
      <c r="FY41">
        <v>0</v>
      </c>
      <c r="GA41" t="s">
        <v>6</v>
      </c>
      <c r="GD41">
        <v>0</v>
      </c>
      <c r="GF41">
        <v>2022151242</v>
      </c>
      <c r="GG41">
        <v>1</v>
      </c>
      <c r="GH41">
        <v>1</v>
      </c>
      <c r="GI41">
        <v>4</v>
      </c>
      <c r="GJ41">
        <v>2</v>
      </c>
      <c r="GK41">
        <f>ROUND(R41*(R12)/100,2)</f>
        <v>0</v>
      </c>
      <c r="GL41">
        <f t="shared" si="41"/>
        <v>0</v>
      </c>
      <c r="GM41">
        <f>ROUND(CP41*I41,2)</f>
        <v>537.07000000000005</v>
      </c>
      <c r="GN41">
        <f>IF(OR(BI41=0,BI41=1),ROUND(CP41*I41,2),0)</f>
        <v>537.07000000000005</v>
      </c>
      <c r="GO41">
        <f>IF(BI41=2,ROUND(CP41*I41,2),0)</f>
        <v>0</v>
      </c>
      <c r="GP41">
        <f>IF(BI41=4,ROUND(CP41*I41,2)+GX41,0)</f>
        <v>0</v>
      </c>
      <c r="GR41">
        <v>0</v>
      </c>
      <c r="GS41">
        <v>3</v>
      </c>
      <c r="GU41" t="s">
        <v>6</v>
      </c>
      <c r="GV41">
        <f>0</f>
        <v>0</v>
      </c>
      <c r="GW41">
        <v>1</v>
      </c>
      <c r="GX41">
        <f t="shared" si="47"/>
        <v>0</v>
      </c>
      <c r="GY41">
        <v>0</v>
      </c>
      <c r="GZ41">
        <v>0</v>
      </c>
      <c r="HA41">
        <v>0</v>
      </c>
      <c r="HB41">
        <v>0</v>
      </c>
      <c r="IK41">
        <v>0</v>
      </c>
    </row>
    <row r="43" spans="1:245" x14ac:dyDescent="0.2">
      <c r="A43" s="2">
        <v>51</v>
      </c>
      <c r="B43" s="2">
        <f>B20</f>
        <v>1</v>
      </c>
      <c r="C43" s="2">
        <f>A20</f>
        <v>3</v>
      </c>
      <c r="D43" s="2">
        <f>ROW(A20)</f>
        <v>20</v>
      </c>
      <c r="E43" s="2"/>
      <c r="F43" s="2" t="str">
        <f>IF(F20&lt;&gt;"",F20,"")</f>
        <v>Новая локальная смета</v>
      </c>
      <c r="G43" s="2" t="str">
        <f>IF(G20&lt;&gt;"",G20,"")</f>
        <v>Новая локальная смета</v>
      </c>
      <c r="H43" s="2">
        <v>0</v>
      </c>
      <c r="I43" s="2"/>
      <c r="J43" s="2"/>
      <c r="K43" s="2"/>
      <c r="L43" s="2"/>
      <c r="M43" s="2"/>
      <c r="N43" s="2"/>
      <c r="O43" s="2">
        <f t="shared" ref="O43:T43" si="50">ROUND(AB43,2)</f>
        <v>743144.1</v>
      </c>
      <c r="P43" s="2">
        <f t="shared" si="50"/>
        <v>703093.17</v>
      </c>
      <c r="Q43" s="2">
        <f t="shared" si="50"/>
        <v>4974.72</v>
      </c>
      <c r="R43" s="2">
        <f t="shared" si="50"/>
        <v>1457.51</v>
      </c>
      <c r="S43" s="2">
        <f t="shared" si="50"/>
        <v>35076.21</v>
      </c>
      <c r="T43" s="2">
        <f t="shared" si="50"/>
        <v>0</v>
      </c>
      <c r="U43" s="2">
        <f>AH43</f>
        <v>642.25272219999999</v>
      </c>
      <c r="V43" s="2">
        <f>AI43</f>
        <v>17.824902250000001</v>
      </c>
      <c r="W43" s="2">
        <f>ROUND(AJ43,2)</f>
        <v>0</v>
      </c>
      <c r="X43" s="2">
        <f>ROUND(AK43,2)</f>
        <v>36973.85</v>
      </c>
      <c r="Y43" s="2">
        <f>ROUND(AL43,2)</f>
        <v>20043.71</v>
      </c>
      <c r="Z43" s="2"/>
      <c r="AA43" s="2"/>
      <c r="AB43" s="2">
        <f>ROUND(SUMIF(AA24:AA41,"=16628881",O24:O41),2)</f>
        <v>743144.1</v>
      </c>
      <c r="AC43" s="2">
        <f>ROUND(SUMIF(AA24:AA41,"=16628881",P24:P41),2)</f>
        <v>703093.17</v>
      </c>
      <c r="AD43" s="2">
        <f>ROUND(SUMIF(AA24:AA41,"=16628881",Q24:Q41),2)</f>
        <v>4974.72</v>
      </c>
      <c r="AE43" s="2">
        <f>ROUND(SUMIF(AA24:AA41,"=16628881",R24:R41),2)</f>
        <v>1457.51</v>
      </c>
      <c r="AF43" s="2">
        <f>ROUND(SUMIF(AA24:AA41,"=16628881",S24:S41),2)</f>
        <v>35076.21</v>
      </c>
      <c r="AG43" s="2">
        <f>ROUND(SUMIF(AA24:AA41,"=16628881",T24:T41),2)</f>
        <v>0</v>
      </c>
      <c r="AH43" s="2">
        <f>SUMIF(AA24:AA41,"=16628881",U24:U41)</f>
        <v>642.25272219999999</v>
      </c>
      <c r="AI43" s="2">
        <f>SUMIF(AA24:AA41,"=16628881",V24:V41)</f>
        <v>17.824902250000001</v>
      </c>
      <c r="AJ43" s="2">
        <f>ROUND(SUMIF(AA24:AA41,"=16628881",W24:W41),2)</f>
        <v>0</v>
      </c>
      <c r="AK43" s="2">
        <f>ROUND(SUMIF(AA24:AA41,"=16628881",X24:X41),2)</f>
        <v>36973.85</v>
      </c>
      <c r="AL43" s="2">
        <f>ROUND(SUMIF(AA24:AA41,"=16628881",Y24:Y41),2)</f>
        <v>20043.71</v>
      </c>
      <c r="AM43" s="2"/>
      <c r="AN43" s="2"/>
      <c r="AO43" s="2">
        <f t="shared" ref="AO43:BC43" si="51">ROUND(BX43,2)</f>
        <v>0</v>
      </c>
      <c r="AP43" s="2">
        <f t="shared" si="51"/>
        <v>0</v>
      </c>
      <c r="AQ43" s="2">
        <f t="shared" si="51"/>
        <v>0</v>
      </c>
      <c r="AR43" s="2">
        <f t="shared" si="51"/>
        <v>802344</v>
      </c>
      <c r="AS43" s="2">
        <f t="shared" si="51"/>
        <v>802344</v>
      </c>
      <c r="AT43" s="2">
        <f t="shared" si="51"/>
        <v>0</v>
      </c>
      <c r="AU43" s="2">
        <f t="shared" si="51"/>
        <v>0</v>
      </c>
      <c r="AV43" s="2">
        <f t="shared" si="51"/>
        <v>703093.17</v>
      </c>
      <c r="AW43" s="2">
        <f t="shared" si="51"/>
        <v>703093.17</v>
      </c>
      <c r="AX43" s="2">
        <f t="shared" si="51"/>
        <v>0</v>
      </c>
      <c r="AY43" s="2">
        <f t="shared" si="51"/>
        <v>703093.17</v>
      </c>
      <c r="AZ43" s="2">
        <f t="shared" si="51"/>
        <v>0</v>
      </c>
      <c r="BA43" s="2">
        <f t="shared" si="51"/>
        <v>0</v>
      </c>
      <c r="BB43" s="2">
        <f t="shared" si="51"/>
        <v>0</v>
      </c>
      <c r="BC43" s="2">
        <f t="shared" si="51"/>
        <v>0</v>
      </c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>
        <f>ROUND(SUMIF(AA24:AA41,"=16628881",FQ24:FQ41),2)</f>
        <v>0</v>
      </c>
      <c r="BY43" s="2">
        <f>ROUND(SUMIF(AA24:AA41,"=16628881",FR24:FR41),2)</f>
        <v>0</v>
      </c>
      <c r="BZ43" s="2">
        <f>ROUND(SUMIF(AA24:AA41,"=16628881",GL24:GL41),2)</f>
        <v>0</v>
      </c>
      <c r="CA43" s="2">
        <f>ROUND(SUMIF(AA24:AA41,"=16628881",GM24:GM41),2)</f>
        <v>802344</v>
      </c>
      <c r="CB43" s="2">
        <f>ROUND(SUMIF(AA24:AA41,"=16628881",GN24:GN41),2)</f>
        <v>802344</v>
      </c>
      <c r="CC43" s="2">
        <f>ROUND(SUMIF(AA24:AA41,"=16628881",GO24:GO41),2)</f>
        <v>0</v>
      </c>
      <c r="CD43" s="2">
        <f>ROUND(SUMIF(AA24:AA41,"=16628881",GP24:GP41),2)</f>
        <v>0</v>
      </c>
      <c r="CE43" s="2">
        <f>AC43-BX43</f>
        <v>703093.17</v>
      </c>
      <c r="CF43" s="2">
        <f>AC43-BY43</f>
        <v>703093.17</v>
      </c>
      <c r="CG43" s="2">
        <f>BX43-BZ43</f>
        <v>0</v>
      </c>
      <c r="CH43" s="2">
        <f>AC43-BX43-BY43+BZ43</f>
        <v>703093.17</v>
      </c>
      <c r="CI43" s="2">
        <f>BY43-BZ43</f>
        <v>0</v>
      </c>
      <c r="CJ43" s="2">
        <f>ROUND(SUMIF(AA24:AA41,"=16628881",GX24:GX41),2)</f>
        <v>0</v>
      </c>
      <c r="CK43" s="2">
        <f>ROUND(SUMIF(AA24:AA41,"=16628881",GY24:GY41),2)</f>
        <v>0</v>
      </c>
      <c r="CL43" s="2">
        <f>ROUND(SUMIF(AA24:AA41,"=16628881",GZ24:GZ41),2)</f>
        <v>0</v>
      </c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>
        <v>0</v>
      </c>
    </row>
    <row r="45" spans="1:245" x14ac:dyDescent="0.2">
      <c r="A45" s="4">
        <v>50</v>
      </c>
      <c r="B45" s="4">
        <v>0</v>
      </c>
      <c r="C45" s="4">
        <v>0</v>
      </c>
      <c r="D45" s="4">
        <v>1</v>
      </c>
      <c r="E45" s="4">
        <v>201</v>
      </c>
      <c r="F45" s="4">
        <f>ROUND(Source!O43,O45)</f>
        <v>743144.1</v>
      </c>
      <c r="G45" s="4" t="s">
        <v>110</v>
      </c>
      <c r="H45" s="4" t="s">
        <v>111</v>
      </c>
      <c r="I45" s="4"/>
      <c r="J45" s="4"/>
      <c r="K45" s="4">
        <v>201</v>
      </c>
      <c r="L45" s="4">
        <v>1</v>
      </c>
      <c r="M45" s="4">
        <v>3</v>
      </c>
      <c r="N45" s="4" t="s">
        <v>6</v>
      </c>
      <c r="O45" s="4">
        <v>2</v>
      </c>
      <c r="P45" s="4"/>
      <c r="Q45" s="4"/>
      <c r="R45" s="4"/>
      <c r="S45" s="4"/>
      <c r="T45" s="4"/>
      <c r="U45" s="4"/>
      <c r="V45" s="4"/>
      <c r="W45" s="4"/>
    </row>
    <row r="46" spans="1:245" x14ac:dyDescent="0.2">
      <c r="A46" s="4">
        <v>50</v>
      </c>
      <c r="B46" s="4">
        <v>0</v>
      </c>
      <c r="C46" s="4">
        <v>0</v>
      </c>
      <c r="D46" s="4">
        <v>1</v>
      </c>
      <c r="E46" s="4">
        <v>202</v>
      </c>
      <c r="F46" s="4">
        <f>ROUND(Source!P43,O46)</f>
        <v>703093.17</v>
      </c>
      <c r="G46" s="4" t="s">
        <v>112</v>
      </c>
      <c r="H46" s="4" t="s">
        <v>113</v>
      </c>
      <c r="I46" s="4"/>
      <c r="J46" s="4"/>
      <c r="K46" s="4">
        <v>202</v>
      </c>
      <c r="L46" s="4">
        <v>2</v>
      </c>
      <c r="M46" s="4">
        <v>3</v>
      </c>
      <c r="N46" s="4" t="s">
        <v>6</v>
      </c>
      <c r="O46" s="4">
        <v>2</v>
      </c>
      <c r="P46" s="4"/>
      <c r="Q46" s="4"/>
      <c r="R46" s="4"/>
      <c r="S46" s="4"/>
      <c r="T46" s="4"/>
      <c r="U46" s="4"/>
      <c r="V46" s="4"/>
      <c r="W46" s="4"/>
    </row>
    <row r="47" spans="1:245" x14ac:dyDescent="0.2">
      <c r="A47" s="4">
        <v>50</v>
      </c>
      <c r="B47" s="4">
        <v>0</v>
      </c>
      <c r="C47" s="4">
        <v>0</v>
      </c>
      <c r="D47" s="4">
        <v>1</v>
      </c>
      <c r="E47" s="4">
        <v>222</v>
      </c>
      <c r="F47" s="4">
        <f>ROUND(Source!AO43,O47)</f>
        <v>0</v>
      </c>
      <c r="G47" s="4" t="s">
        <v>114</v>
      </c>
      <c r="H47" s="4" t="s">
        <v>115</v>
      </c>
      <c r="I47" s="4"/>
      <c r="J47" s="4"/>
      <c r="K47" s="4">
        <v>222</v>
      </c>
      <c r="L47" s="4">
        <v>3</v>
      </c>
      <c r="M47" s="4">
        <v>3</v>
      </c>
      <c r="N47" s="4" t="s">
        <v>6</v>
      </c>
      <c r="O47" s="4">
        <v>2</v>
      </c>
      <c r="P47" s="4"/>
      <c r="Q47" s="4"/>
      <c r="R47" s="4"/>
      <c r="S47" s="4"/>
      <c r="T47" s="4"/>
      <c r="U47" s="4"/>
      <c r="V47" s="4"/>
      <c r="W47" s="4"/>
    </row>
    <row r="48" spans="1:245" x14ac:dyDescent="0.2">
      <c r="A48" s="4">
        <v>50</v>
      </c>
      <c r="B48" s="4">
        <v>0</v>
      </c>
      <c r="C48" s="4">
        <v>0</v>
      </c>
      <c r="D48" s="4">
        <v>1</v>
      </c>
      <c r="E48" s="4">
        <v>225</v>
      </c>
      <c r="F48" s="4">
        <f>ROUND(Source!AV43,O48)</f>
        <v>703093.17</v>
      </c>
      <c r="G48" s="4" t="s">
        <v>116</v>
      </c>
      <c r="H48" s="4" t="s">
        <v>117</v>
      </c>
      <c r="I48" s="4"/>
      <c r="J48" s="4"/>
      <c r="K48" s="4">
        <v>225</v>
      </c>
      <c r="L48" s="4">
        <v>4</v>
      </c>
      <c r="M48" s="4">
        <v>3</v>
      </c>
      <c r="N48" s="4" t="s">
        <v>6</v>
      </c>
      <c r="O48" s="4">
        <v>2</v>
      </c>
      <c r="P48" s="4"/>
      <c r="Q48" s="4"/>
      <c r="R48" s="4"/>
      <c r="S48" s="4"/>
      <c r="T48" s="4"/>
      <c r="U48" s="4"/>
      <c r="V48" s="4"/>
      <c r="W48" s="4"/>
    </row>
    <row r="49" spans="1:23" x14ac:dyDescent="0.2">
      <c r="A49" s="4">
        <v>50</v>
      </c>
      <c r="B49" s="4">
        <v>0</v>
      </c>
      <c r="C49" s="4">
        <v>0</v>
      </c>
      <c r="D49" s="4">
        <v>1</v>
      </c>
      <c r="E49" s="4">
        <v>226</v>
      </c>
      <c r="F49" s="4">
        <f>ROUND(Source!AW43,O49)</f>
        <v>703093.17</v>
      </c>
      <c r="G49" s="4" t="s">
        <v>118</v>
      </c>
      <c r="H49" s="4" t="s">
        <v>119</v>
      </c>
      <c r="I49" s="4"/>
      <c r="J49" s="4"/>
      <c r="K49" s="4">
        <v>226</v>
      </c>
      <c r="L49" s="4">
        <v>5</v>
      </c>
      <c r="M49" s="4">
        <v>3</v>
      </c>
      <c r="N49" s="4" t="s">
        <v>6</v>
      </c>
      <c r="O49" s="4">
        <v>2</v>
      </c>
      <c r="P49" s="4"/>
      <c r="Q49" s="4"/>
      <c r="R49" s="4"/>
      <c r="S49" s="4"/>
      <c r="T49" s="4"/>
      <c r="U49" s="4"/>
      <c r="V49" s="4"/>
      <c r="W49" s="4"/>
    </row>
    <row r="50" spans="1:23" x14ac:dyDescent="0.2">
      <c r="A50" s="4">
        <v>50</v>
      </c>
      <c r="B50" s="4">
        <v>0</v>
      </c>
      <c r="C50" s="4">
        <v>0</v>
      </c>
      <c r="D50" s="4">
        <v>1</v>
      </c>
      <c r="E50" s="4">
        <v>227</v>
      </c>
      <c r="F50" s="4">
        <f>ROUND(Source!AX43,O50)</f>
        <v>0</v>
      </c>
      <c r="G50" s="4" t="s">
        <v>120</v>
      </c>
      <c r="H50" s="4" t="s">
        <v>121</v>
      </c>
      <c r="I50" s="4"/>
      <c r="J50" s="4"/>
      <c r="K50" s="4">
        <v>227</v>
      </c>
      <c r="L50" s="4">
        <v>6</v>
      </c>
      <c r="M50" s="4">
        <v>3</v>
      </c>
      <c r="N50" s="4" t="s">
        <v>6</v>
      </c>
      <c r="O50" s="4">
        <v>2</v>
      </c>
      <c r="P50" s="4"/>
      <c r="Q50" s="4"/>
      <c r="R50" s="4"/>
      <c r="S50" s="4"/>
      <c r="T50" s="4"/>
      <c r="U50" s="4"/>
      <c r="V50" s="4"/>
      <c r="W50" s="4"/>
    </row>
    <row r="51" spans="1:23" x14ac:dyDescent="0.2">
      <c r="A51" s="4">
        <v>50</v>
      </c>
      <c r="B51" s="4">
        <v>0</v>
      </c>
      <c r="C51" s="4">
        <v>0</v>
      </c>
      <c r="D51" s="4">
        <v>1</v>
      </c>
      <c r="E51" s="4">
        <v>228</v>
      </c>
      <c r="F51" s="4">
        <f>ROUND(Source!AY43,O51)</f>
        <v>703093.17</v>
      </c>
      <c r="G51" s="4" t="s">
        <v>122</v>
      </c>
      <c r="H51" s="4" t="s">
        <v>123</v>
      </c>
      <c r="I51" s="4"/>
      <c r="J51" s="4"/>
      <c r="K51" s="4">
        <v>228</v>
      </c>
      <c r="L51" s="4">
        <v>7</v>
      </c>
      <c r="M51" s="4">
        <v>3</v>
      </c>
      <c r="N51" s="4" t="s">
        <v>6</v>
      </c>
      <c r="O51" s="4">
        <v>2</v>
      </c>
      <c r="P51" s="4"/>
      <c r="Q51" s="4"/>
      <c r="R51" s="4"/>
      <c r="S51" s="4"/>
      <c r="T51" s="4"/>
      <c r="U51" s="4"/>
      <c r="V51" s="4"/>
      <c r="W51" s="4"/>
    </row>
    <row r="52" spans="1:23" x14ac:dyDescent="0.2">
      <c r="A52" s="4">
        <v>50</v>
      </c>
      <c r="B52" s="4">
        <v>0</v>
      </c>
      <c r="C52" s="4">
        <v>0</v>
      </c>
      <c r="D52" s="4">
        <v>1</v>
      </c>
      <c r="E52" s="4">
        <v>216</v>
      </c>
      <c r="F52" s="4">
        <f>ROUND(Source!AP43,O52)</f>
        <v>0</v>
      </c>
      <c r="G52" s="4" t="s">
        <v>124</v>
      </c>
      <c r="H52" s="4" t="s">
        <v>125</v>
      </c>
      <c r="I52" s="4"/>
      <c r="J52" s="4"/>
      <c r="K52" s="4">
        <v>216</v>
      </c>
      <c r="L52" s="4">
        <v>8</v>
      </c>
      <c r="M52" s="4">
        <v>3</v>
      </c>
      <c r="N52" s="4" t="s">
        <v>6</v>
      </c>
      <c r="O52" s="4">
        <v>2</v>
      </c>
      <c r="P52" s="4"/>
      <c r="Q52" s="4"/>
      <c r="R52" s="4"/>
      <c r="S52" s="4"/>
      <c r="T52" s="4"/>
      <c r="U52" s="4"/>
      <c r="V52" s="4"/>
      <c r="W52" s="4"/>
    </row>
    <row r="53" spans="1:23" x14ac:dyDescent="0.2">
      <c r="A53" s="4">
        <v>50</v>
      </c>
      <c r="B53" s="4">
        <v>0</v>
      </c>
      <c r="C53" s="4">
        <v>0</v>
      </c>
      <c r="D53" s="4">
        <v>1</v>
      </c>
      <c r="E53" s="4">
        <v>223</v>
      </c>
      <c r="F53" s="4">
        <f>ROUND(Source!AQ43,O53)</f>
        <v>0</v>
      </c>
      <c r="G53" s="4" t="s">
        <v>126</v>
      </c>
      <c r="H53" s="4" t="s">
        <v>127</v>
      </c>
      <c r="I53" s="4"/>
      <c r="J53" s="4"/>
      <c r="K53" s="4">
        <v>223</v>
      </c>
      <c r="L53" s="4">
        <v>9</v>
      </c>
      <c r="M53" s="4">
        <v>3</v>
      </c>
      <c r="N53" s="4" t="s">
        <v>6</v>
      </c>
      <c r="O53" s="4">
        <v>2</v>
      </c>
      <c r="P53" s="4"/>
      <c r="Q53" s="4"/>
      <c r="R53" s="4"/>
      <c r="S53" s="4"/>
      <c r="T53" s="4"/>
      <c r="U53" s="4"/>
      <c r="V53" s="4"/>
      <c r="W53" s="4"/>
    </row>
    <row r="54" spans="1:23" x14ac:dyDescent="0.2">
      <c r="A54" s="4">
        <v>50</v>
      </c>
      <c r="B54" s="4">
        <v>0</v>
      </c>
      <c r="C54" s="4">
        <v>0</v>
      </c>
      <c r="D54" s="4">
        <v>1</v>
      </c>
      <c r="E54" s="4">
        <v>229</v>
      </c>
      <c r="F54" s="4">
        <f>ROUND(Source!AZ43,O54)</f>
        <v>0</v>
      </c>
      <c r="G54" s="4" t="s">
        <v>128</v>
      </c>
      <c r="H54" s="4" t="s">
        <v>129</v>
      </c>
      <c r="I54" s="4"/>
      <c r="J54" s="4"/>
      <c r="K54" s="4">
        <v>229</v>
      </c>
      <c r="L54" s="4">
        <v>10</v>
      </c>
      <c r="M54" s="4">
        <v>3</v>
      </c>
      <c r="N54" s="4" t="s">
        <v>6</v>
      </c>
      <c r="O54" s="4">
        <v>2</v>
      </c>
      <c r="P54" s="4"/>
      <c r="Q54" s="4"/>
      <c r="R54" s="4"/>
      <c r="S54" s="4"/>
      <c r="T54" s="4"/>
      <c r="U54" s="4"/>
      <c r="V54" s="4"/>
      <c r="W54" s="4"/>
    </row>
    <row r="55" spans="1:23" x14ac:dyDescent="0.2">
      <c r="A55" s="4">
        <v>50</v>
      </c>
      <c r="B55" s="4">
        <v>0</v>
      </c>
      <c r="C55" s="4">
        <v>0</v>
      </c>
      <c r="D55" s="4">
        <v>1</v>
      </c>
      <c r="E55" s="4">
        <v>203</v>
      </c>
      <c r="F55" s="4">
        <f>ROUND(Source!Q43,O55)</f>
        <v>4974.72</v>
      </c>
      <c r="G55" s="4" t="s">
        <v>130</v>
      </c>
      <c r="H55" s="4" t="s">
        <v>131</v>
      </c>
      <c r="I55" s="4"/>
      <c r="J55" s="4"/>
      <c r="K55" s="4">
        <v>203</v>
      </c>
      <c r="L55" s="4">
        <v>11</v>
      </c>
      <c r="M55" s="4">
        <v>3</v>
      </c>
      <c r="N55" s="4" t="s">
        <v>6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3" x14ac:dyDescent="0.2">
      <c r="A56" s="4">
        <v>50</v>
      </c>
      <c r="B56" s="4">
        <v>0</v>
      </c>
      <c r="C56" s="4">
        <v>0</v>
      </c>
      <c r="D56" s="4">
        <v>1</v>
      </c>
      <c r="E56" s="4">
        <v>231</v>
      </c>
      <c r="F56" s="4">
        <f>ROUND(Source!BB43,O56)</f>
        <v>0</v>
      </c>
      <c r="G56" s="4" t="s">
        <v>132</v>
      </c>
      <c r="H56" s="4" t="s">
        <v>133</v>
      </c>
      <c r="I56" s="4"/>
      <c r="J56" s="4"/>
      <c r="K56" s="4">
        <v>231</v>
      </c>
      <c r="L56" s="4">
        <v>12</v>
      </c>
      <c r="M56" s="4">
        <v>3</v>
      </c>
      <c r="N56" s="4" t="s">
        <v>6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3" x14ac:dyDescent="0.2">
      <c r="A57" s="4">
        <v>50</v>
      </c>
      <c r="B57" s="4">
        <v>0</v>
      </c>
      <c r="C57" s="4">
        <v>0</v>
      </c>
      <c r="D57" s="4">
        <v>1</v>
      </c>
      <c r="E57" s="4">
        <v>204</v>
      </c>
      <c r="F57" s="4">
        <f>ROUND(Source!R43,O57)</f>
        <v>1457.51</v>
      </c>
      <c r="G57" s="4" t="s">
        <v>134</v>
      </c>
      <c r="H57" s="4" t="s">
        <v>135</v>
      </c>
      <c r="I57" s="4"/>
      <c r="J57" s="4"/>
      <c r="K57" s="4">
        <v>204</v>
      </c>
      <c r="L57" s="4">
        <v>13</v>
      </c>
      <c r="M57" s="4">
        <v>3</v>
      </c>
      <c r="N57" s="4" t="s">
        <v>6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3" x14ac:dyDescent="0.2">
      <c r="A58" s="4">
        <v>50</v>
      </c>
      <c r="B58" s="4">
        <v>0</v>
      </c>
      <c r="C58" s="4">
        <v>0</v>
      </c>
      <c r="D58" s="4">
        <v>1</v>
      </c>
      <c r="E58" s="4">
        <v>205</v>
      </c>
      <c r="F58" s="4">
        <f>ROUND(Source!S43,O58)</f>
        <v>35076.21</v>
      </c>
      <c r="G58" s="4" t="s">
        <v>136</v>
      </c>
      <c r="H58" s="4" t="s">
        <v>137</v>
      </c>
      <c r="I58" s="4"/>
      <c r="J58" s="4"/>
      <c r="K58" s="4">
        <v>205</v>
      </c>
      <c r="L58" s="4">
        <v>14</v>
      </c>
      <c r="M58" s="4">
        <v>3</v>
      </c>
      <c r="N58" s="4" t="s">
        <v>6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3" x14ac:dyDescent="0.2">
      <c r="A59" s="4">
        <v>50</v>
      </c>
      <c r="B59" s="4">
        <v>0</v>
      </c>
      <c r="C59" s="4">
        <v>0</v>
      </c>
      <c r="D59" s="4">
        <v>1</v>
      </c>
      <c r="E59" s="4">
        <v>232</v>
      </c>
      <c r="F59" s="4">
        <f>ROUND(Source!BC43,O59)</f>
        <v>0</v>
      </c>
      <c r="G59" s="4" t="s">
        <v>138</v>
      </c>
      <c r="H59" s="4" t="s">
        <v>139</v>
      </c>
      <c r="I59" s="4"/>
      <c r="J59" s="4"/>
      <c r="K59" s="4">
        <v>232</v>
      </c>
      <c r="L59" s="4">
        <v>15</v>
      </c>
      <c r="M59" s="4">
        <v>3</v>
      </c>
      <c r="N59" s="4" t="s">
        <v>6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3" x14ac:dyDescent="0.2">
      <c r="A60" s="4">
        <v>50</v>
      </c>
      <c r="B60" s="4">
        <v>0</v>
      </c>
      <c r="C60" s="4">
        <v>0</v>
      </c>
      <c r="D60" s="4">
        <v>1</v>
      </c>
      <c r="E60" s="4">
        <v>214</v>
      </c>
      <c r="F60" s="4">
        <f>ROUND(Source!AS43,O60)</f>
        <v>802344</v>
      </c>
      <c r="G60" s="4" t="s">
        <v>140</v>
      </c>
      <c r="H60" s="4" t="s">
        <v>141</v>
      </c>
      <c r="I60" s="4"/>
      <c r="J60" s="4"/>
      <c r="K60" s="4">
        <v>214</v>
      </c>
      <c r="L60" s="4">
        <v>16</v>
      </c>
      <c r="M60" s="4">
        <v>3</v>
      </c>
      <c r="N60" s="4" t="s">
        <v>6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3" x14ac:dyDescent="0.2">
      <c r="A61" s="4">
        <v>50</v>
      </c>
      <c r="B61" s="4">
        <v>0</v>
      </c>
      <c r="C61" s="4">
        <v>0</v>
      </c>
      <c r="D61" s="4">
        <v>1</v>
      </c>
      <c r="E61" s="4">
        <v>215</v>
      </c>
      <c r="F61" s="4">
        <f>ROUND(Source!AT43,O61)</f>
        <v>0</v>
      </c>
      <c r="G61" s="4" t="s">
        <v>142</v>
      </c>
      <c r="H61" s="4" t="s">
        <v>143</v>
      </c>
      <c r="I61" s="4"/>
      <c r="J61" s="4"/>
      <c r="K61" s="4">
        <v>215</v>
      </c>
      <c r="L61" s="4">
        <v>17</v>
      </c>
      <c r="M61" s="4">
        <v>3</v>
      </c>
      <c r="N61" s="4" t="s">
        <v>6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3" x14ac:dyDescent="0.2">
      <c r="A62" s="4">
        <v>50</v>
      </c>
      <c r="B62" s="4">
        <v>0</v>
      </c>
      <c r="C62" s="4">
        <v>0</v>
      </c>
      <c r="D62" s="4">
        <v>1</v>
      </c>
      <c r="E62" s="4">
        <v>217</v>
      </c>
      <c r="F62" s="4">
        <f>ROUND(Source!AU43,O62)</f>
        <v>0</v>
      </c>
      <c r="G62" s="4" t="s">
        <v>144</v>
      </c>
      <c r="H62" s="4" t="s">
        <v>145</v>
      </c>
      <c r="I62" s="4"/>
      <c r="J62" s="4"/>
      <c r="K62" s="4">
        <v>217</v>
      </c>
      <c r="L62" s="4">
        <v>18</v>
      </c>
      <c r="M62" s="4">
        <v>3</v>
      </c>
      <c r="N62" s="4" t="s">
        <v>6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3" x14ac:dyDescent="0.2">
      <c r="A63" s="4">
        <v>50</v>
      </c>
      <c r="B63" s="4">
        <v>0</v>
      </c>
      <c r="C63" s="4">
        <v>0</v>
      </c>
      <c r="D63" s="4">
        <v>1</v>
      </c>
      <c r="E63" s="4">
        <v>230</v>
      </c>
      <c r="F63" s="4">
        <f>ROUND(Source!BA43,O63)</f>
        <v>0</v>
      </c>
      <c r="G63" s="4" t="s">
        <v>146</v>
      </c>
      <c r="H63" s="4" t="s">
        <v>147</v>
      </c>
      <c r="I63" s="4"/>
      <c r="J63" s="4"/>
      <c r="K63" s="4">
        <v>230</v>
      </c>
      <c r="L63" s="4">
        <v>19</v>
      </c>
      <c r="M63" s="4">
        <v>3</v>
      </c>
      <c r="N63" s="4" t="s">
        <v>6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3" x14ac:dyDescent="0.2">
      <c r="A64" s="4">
        <v>50</v>
      </c>
      <c r="B64" s="4">
        <v>0</v>
      </c>
      <c r="C64" s="4">
        <v>0</v>
      </c>
      <c r="D64" s="4">
        <v>1</v>
      </c>
      <c r="E64" s="4">
        <v>206</v>
      </c>
      <c r="F64" s="4">
        <f>ROUND(Source!T43,O64)</f>
        <v>0</v>
      </c>
      <c r="G64" s="4" t="s">
        <v>148</v>
      </c>
      <c r="H64" s="4" t="s">
        <v>149</v>
      </c>
      <c r="I64" s="4"/>
      <c r="J64" s="4"/>
      <c r="K64" s="4">
        <v>206</v>
      </c>
      <c r="L64" s="4">
        <v>20</v>
      </c>
      <c r="M64" s="4">
        <v>3</v>
      </c>
      <c r="N64" s="4" t="s">
        <v>6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06" x14ac:dyDescent="0.2">
      <c r="A65" s="4">
        <v>50</v>
      </c>
      <c r="B65" s="4">
        <v>0</v>
      </c>
      <c r="C65" s="4">
        <v>0</v>
      </c>
      <c r="D65" s="4">
        <v>1</v>
      </c>
      <c r="E65" s="4">
        <v>207</v>
      </c>
      <c r="F65" s="4">
        <f>Source!U43</f>
        <v>642.25272219999999</v>
      </c>
      <c r="G65" s="4" t="s">
        <v>150</v>
      </c>
      <c r="H65" s="4" t="s">
        <v>151</v>
      </c>
      <c r="I65" s="4"/>
      <c r="J65" s="4"/>
      <c r="K65" s="4">
        <v>207</v>
      </c>
      <c r="L65" s="4">
        <v>21</v>
      </c>
      <c r="M65" s="4">
        <v>3</v>
      </c>
      <c r="N65" s="4" t="s">
        <v>6</v>
      </c>
      <c r="O65" s="4">
        <v>-1</v>
      </c>
      <c r="P65" s="4"/>
      <c r="Q65" s="4"/>
      <c r="R65" s="4"/>
      <c r="S65" s="4"/>
      <c r="T65" s="4"/>
      <c r="U65" s="4"/>
      <c r="V65" s="4"/>
      <c r="W65" s="4"/>
    </row>
    <row r="66" spans="1:206" x14ac:dyDescent="0.2">
      <c r="A66" s="4">
        <v>50</v>
      </c>
      <c r="B66" s="4">
        <v>0</v>
      </c>
      <c r="C66" s="4">
        <v>0</v>
      </c>
      <c r="D66" s="4">
        <v>1</v>
      </c>
      <c r="E66" s="4">
        <v>208</v>
      </c>
      <c r="F66" s="4">
        <f>Source!V43</f>
        <v>17.824902250000001</v>
      </c>
      <c r="G66" s="4" t="s">
        <v>152</v>
      </c>
      <c r="H66" s="4" t="s">
        <v>153</v>
      </c>
      <c r="I66" s="4"/>
      <c r="J66" s="4"/>
      <c r="K66" s="4">
        <v>208</v>
      </c>
      <c r="L66" s="4">
        <v>22</v>
      </c>
      <c r="M66" s="4">
        <v>3</v>
      </c>
      <c r="N66" s="4" t="s">
        <v>6</v>
      </c>
      <c r="O66" s="4">
        <v>-1</v>
      </c>
      <c r="P66" s="4"/>
      <c r="Q66" s="4"/>
      <c r="R66" s="4"/>
      <c r="S66" s="4"/>
      <c r="T66" s="4"/>
      <c r="U66" s="4"/>
      <c r="V66" s="4"/>
      <c r="W66" s="4"/>
    </row>
    <row r="67" spans="1:206" x14ac:dyDescent="0.2">
      <c r="A67" s="4">
        <v>50</v>
      </c>
      <c r="B67" s="4">
        <v>0</v>
      </c>
      <c r="C67" s="4">
        <v>0</v>
      </c>
      <c r="D67" s="4">
        <v>1</v>
      </c>
      <c r="E67" s="4">
        <v>209</v>
      </c>
      <c r="F67" s="4">
        <f>ROUND(Source!W43,O67)</f>
        <v>0</v>
      </c>
      <c r="G67" s="4" t="s">
        <v>154</v>
      </c>
      <c r="H67" s="4" t="s">
        <v>155</v>
      </c>
      <c r="I67" s="4"/>
      <c r="J67" s="4"/>
      <c r="K67" s="4">
        <v>209</v>
      </c>
      <c r="L67" s="4">
        <v>23</v>
      </c>
      <c r="M67" s="4">
        <v>3</v>
      </c>
      <c r="N67" s="4" t="s">
        <v>6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06" x14ac:dyDescent="0.2">
      <c r="A68" s="4">
        <v>50</v>
      </c>
      <c r="B68" s="4">
        <v>0</v>
      </c>
      <c r="C68" s="4">
        <v>0</v>
      </c>
      <c r="D68" s="4">
        <v>1</v>
      </c>
      <c r="E68" s="4">
        <v>210</v>
      </c>
      <c r="F68" s="4">
        <f>ROUND(Source!X43,O68)</f>
        <v>36973.85</v>
      </c>
      <c r="G68" s="4" t="s">
        <v>156</v>
      </c>
      <c r="H68" s="4" t="s">
        <v>157</v>
      </c>
      <c r="I68" s="4"/>
      <c r="J68" s="4"/>
      <c r="K68" s="4">
        <v>210</v>
      </c>
      <c r="L68" s="4">
        <v>24</v>
      </c>
      <c r="M68" s="4">
        <v>3</v>
      </c>
      <c r="N68" s="4" t="s">
        <v>6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06" x14ac:dyDescent="0.2">
      <c r="A69" s="4">
        <v>50</v>
      </c>
      <c r="B69" s="4">
        <v>0</v>
      </c>
      <c r="C69" s="4">
        <v>0</v>
      </c>
      <c r="D69" s="4">
        <v>1</v>
      </c>
      <c r="E69" s="4">
        <v>211</v>
      </c>
      <c r="F69" s="4">
        <f>ROUND(Source!Y43,O69)</f>
        <v>20043.71</v>
      </c>
      <c r="G69" s="4" t="s">
        <v>158</v>
      </c>
      <c r="H69" s="4" t="s">
        <v>159</v>
      </c>
      <c r="I69" s="4"/>
      <c r="J69" s="4"/>
      <c r="K69" s="4">
        <v>211</v>
      </c>
      <c r="L69" s="4">
        <v>25</v>
      </c>
      <c r="M69" s="4">
        <v>3</v>
      </c>
      <c r="N69" s="4" t="s">
        <v>6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206" x14ac:dyDescent="0.2">
      <c r="A70" s="4">
        <v>50</v>
      </c>
      <c r="B70" s="4">
        <v>0</v>
      </c>
      <c r="C70" s="4">
        <v>0</v>
      </c>
      <c r="D70" s="4">
        <v>1</v>
      </c>
      <c r="E70" s="4">
        <v>224</v>
      </c>
      <c r="F70" s="4">
        <f>ROUND(Source!AR43,O70)</f>
        <v>802344</v>
      </c>
      <c r="G70" s="4" t="s">
        <v>160</v>
      </c>
      <c r="H70" s="4" t="s">
        <v>161</v>
      </c>
      <c r="I70" s="4"/>
      <c r="J70" s="4"/>
      <c r="K70" s="4">
        <v>224</v>
      </c>
      <c r="L70" s="4">
        <v>26</v>
      </c>
      <c r="M70" s="4">
        <v>3</v>
      </c>
      <c r="N70" s="4" t="s">
        <v>6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06" x14ac:dyDescent="0.2">
      <c r="A71" s="4">
        <v>50</v>
      </c>
      <c r="B71" s="4">
        <v>1</v>
      </c>
      <c r="C71" s="4">
        <v>0</v>
      </c>
      <c r="D71" s="4">
        <v>2</v>
      </c>
      <c r="E71" s="4">
        <v>0</v>
      </c>
      <c r="F71" s="4">
        <f>ROUND(F70,O71)</f>
        <v>802344</v>
      </c>
      <c r="G71" s="4" t="s">
        <v>162</v>
      </c>
      <c r="H71" s="4" t="s">
        <v>163</v>
      </c>
      <c r="I71" s="4"/>
      <c r="J71" s="4"/>
      <c r="K71" s="4">
        <v>212</v>
      </c>
      <c r="L71" s="4">
        <v>27</v>
      </c>
      <c r="M71" s="4">
        <v>0</v>
      </c>
      <c r="N71" s="4" t="s">
        <v>6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06" x14ac:dyDescent="0.2">
      <c r="A72" s="4">
        <v>50</v>
      </c>
      <c r="B72" s="4">
        <v>1</v>
      </c>
      <c r="C72" s="4">
        <v>0</v>
      </c>
      <c r="D72" s="4">
        <v>2</v>
      </c>
      <c r="E72" s="4">
        <v>0</v>
      </c>
      <c r="F72" s="4">
        <f>ROUND(F71*0.18,O72)</f>
        <v>144421.92000000001</v>
      </c>
      <c r="G72" s="4" t="s">
        <v>164</v>
      </c>
      <c r="H72" s="4" t="s">
        <v>165</v>
      </c>
      <c r="I72" s="4"/>
      <c r="J72" s="4"/>
      <c r="K72" s="4">
        <v>212</v>
      </c>
      <c r="L72" s="4">
        <v>28</v>
      </c>
      <c r="M72" s="4">
        <v>0</v>
      </c>
      <c r="N72" s="4" t="s">
        <v>6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06" x14ac:dyDescent="0.2">
      <c r="A73" s="4">
        <v>50</v>
      </c>
      <c r="B73" s="4">
        <v>1</v>
      </c>
      <c r="C73" s="4">
        <v>0</v>
      </c>
      <c r="D73" s="4">
        <v>2</v>
      </c>
      <c r="E73" s="4">
        <v>213</v>
      </c>
      <c r="F73" s="4">
        <f>ROUND(F71+F72,O73)</f>
        <v>946765.92</v>
      </c>
      <c r="G73" s="4" t="s">
        <v>166</v>
      </c>
      <c r="H73" s="4" t="s">
        <v>160</v>
      </c>
      <c r="I73" s="4"/>
      <c r="J73" s="4"/>
      <c r="K73" s="4">
        <v>212</v>
      </c>
      <c r="L73" s="4">
        <v>29</v>
      </c>
      <c r="M73" s="4">
        <v>0</v>
      </c>
      <c r="N73" s="4" t="s">
        <v>6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5" spans="1:206" x14ac:dyDescent="0.2">
      <c r="A75" s="2">
        <v>51</v>
      </c>
      <c r="B75" s="2">
        <f>B12</f>
        <v>133</v>
      </c>
      <c r="C75" s="2">
        <f>A12</f>
        <v>1</v>
      </c>
      <c r="D75" s="2">
        <f>ROW(A12)</f>
        <v>12</v>
      </c>
      <c r="E75" s="2"/>
      <c r="F75" s="2" t="str">
        <f>IF(F12&lt;&gt;"",F12,"")</f>
        <v>Новый объект_(Копия)_(Копия)_(Копия)</v>
      </c>
      <c r="G75" s="2" t="str">
        <f>IF(G12&lt;&gt;"",G12,"")</f>
        <v xml:space="preserve"> по капитальному ремонту оконных проемов с заменой деревянных оконных блоков на оконные блоки из ПВХ на лестничных клетках с второго по четвертый этажи,в кабинетах № 8, № 1,   аудиториях № 7, № 6,№ 5,№ 3,№ 15,№ 16,№ 18, № 11, препараторских № 4,№ 17 четвертого этажа здания учебного корпуса Нововоронежского политехнического колледжа -                                                   филиала  НИЯУ МИФИ  (НВПК НИЯУ МИФИ) по адреcу:  Воронежская обл.,  г. Нововоронеж, ул. Октябрьская, д.1                 
</v>
      </c>
      <c r="H75" s="2">
        <v>0</v>
      </c>
      <c r="I75" s="2"/>
      <c r="J75" s="2"/>
      <c r="K75" s="2"/>
      <c r="L75" s="2"/>
      <c r="M75" s="2"/>
      <c r="N75" s="2"/>
      <c r="O75" s="2">
        <f t="shared" ref="O75:T75" si="52">ROUND(O43,2)</f>
        <v>743144.1</v>
      </c>
      <c r="P75" s="2">
        <f t="shared" si="52"/>
        <v>703093.17</v>
      </c>
      <c r="Q75" s="2">
        <f t="shared" si="52"/>
        <v>4974.72</v>
      </c>
      <c r="R75" s="2">
        <f t="shared" si="52"/>
        <v>1457.51</v>
      </c>
      <c r="S75" s="2">
        <f t="shared" si="52"/>
        <v>35076.21</v>
      </c>
      <c r="T75" s="2">
        <f t="shared" si="52"/>
        <v>0</v>
      </c>
      <c r="U75" s="2">
        <f>U43</f>
        <v>642.25272219999999</v>
      </c>
      <c r="V75" s="2">
        <f>V43</f>
        <v>17.824902250000001</v>
      </c>
      <c r="W75" s="2">
        <f>ROUND(W43,2)</f>
        <v>0</v>
      </c>
      <c r="X75" s="2">
        <f>ROUND(X43,2)</f>
        <v>36973.85</v>
      </c>
      <c r="Y75" s="2">
        <f>ROUND(Y43,2)</f>
        <v>20043.71</v>
      </c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>
        <f t="shared" ref="AO75:BC75" si="53">ROUND(AO43,2)</f>
        <v>0</v>
      </c>
      <c r="AP75" s="2">
        <f t="shared" si="53"/>
        <v>0</v>
      </c>
      <c r="AQ75" s="2">
        <f t="shared" si="53"/>
        <v>0</v>
      </c>
      <c r="AR75" s="2">
        <f t="shared" si="53"/>
        <v>802344</v>
      </c>
      <c r="AS75" s="2">
        <f t="shared" si="53"/>
        <v>802344</v>
      </c>
      <c r="AT75" s="2">
        <f t="shared" si="53"/>
        <v>0</v>
      </c>
      <c r="AU75" s="2">
        <f t="shared" si="53"/>
        <v>0</v>
      </c>
      <c r="AV75" s="2">
        <f t="shared" si="53"/>
        <v>703093.17</v>
      </c>
      <c r="AW75" s="2">
        <f t="shared" si="53"/>
        <v>703093.17</v>
      </c>
      <c r="AX75" s="2">
        <f t="shared" si="53"/>
        <v>0</v>
      </c>
      <c r="AY75" s="2">
        <f t="shared" si="53"/>
        <v>703093.17</v>
      </c>
      <c r="AZ75" s="2">
        <f t="shared" si="53"/>
        <v>0</v>
      </c>
      <c r="BA75" s="2">
        <f t="shared" si="53"/>
        <v>0</v>
      </c>
      <c r="BB75" s="2">
        <f t="shared" si="53"/>
        <v>0</v>
      </c>
      <c r="BC75" s="2">
        <f t="shared" si="53"/>
        <v>0</v>
      </c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>
        <v>0</v>
      </c>
    </row>
    <row r="77" spans="1:206" x14ac:dyDescent="0.2">
      <c r="A77" s="4">
        <v>50</v>
      </c>
      <c r="B77" s="4">
        <v>0</v>
      </c>
      <c r="C77" s="4">
        <v>0</v>
      </c>
      <c r="D77" s="4">
        <v>1</v>
      </c>
      <c r="E77" s="4">
        <v>201</v>
      </c>
      <c r="F77" s="4">
        <f>ROUND(Source!O75,O77)</f>
        <v>743144.1</v>
      </c>
      <c r="G77" s="4" t="s">
        <v>110</v>
      </c>
      <c r="H77" s="4" t="s">
        <v>111</v>
      </c>
      <c r="I77" s="4"/>
      <c r="J77" s="4"/>
      <c r="K77" s="4">
        <v>201</v>
      </c>
      <c r="L77" s="4">
        <v>1</v>
      </c>
      <c r="M77" s="4">
        <v>3</v>
      </c>
      <c r="N77" s="4" t="s">
        <v>6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06" x14ac:dyDescent="0.2">
      <c r="A78" s="4">
        <v>50</v>
      </c>
      <c r="B78" s="4">
        <v>0</v>
      </c>
      <c r="C78" s="4">
        <v>0</v>
      </c>
      <c r="D78" s="4">
        <v>1</v>
      </c>
      <c r="E78" s="4">
        <v>202</v>
      </c>
      <c r="F78" s="4">
        <f>ROUND(Source!P75,O78)</f>
        <v>703093.17</v>
      </c>
      <c r="G78" s="4" t="s">
        <v>112</v>
      </c>
      <c r="H78" s="4" t="s">
        <v>113</v>
      </c>
      <c r="I78" s="4"/>
      <c r="J78" s="4"/>
      <c r="K78" s="4">
        <v>202</v>
      </c>
      <c r="L78" s="4">
        <v>2</v>
      </c>
      <c r="M78" s="4">
        <v>3</v>
      </c>
      <c r="N78" s="4" t="s">
        <v>6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06" x14ac:dyDescent="0.2">
      <c r="A79" s="4">
        <v>50</v>
      </c>
      <c r="B79" s="4">
        <v>0</v>
      </c>
      <c r="C79" s="4">
        <v>0</v>
      </c>
      <c r="D79" s="4">
        <v>1</v>
      </c>
      <c r="E79" s="4">
        <v>222</v>
      </c>
      <c r="F79" s="4">
        <f>ROUND(Source!AO75,O79)</f>
        <v>0</v>
      </c>
      <c r="G79" s="4" t="s">
        <v>114</v>
      </c>
      <c r="H79" s="4" t="s">
        <v>115</v>
      </c>
      <c r="I79" s="4"/>
      <c r="J79" s="4"/>
      <c r="K79" s="4">
        <v>222</v>
      </c>
      <c r="L79" s="4">
        <v>3</v>
      </c>
      <c r="M79" s="4">
        <v>3</v>
      </c>
      <c r="N79" s="4" t="s">
        <v>6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06" x14ac:dyDescent="0.2">
      <c r="A80" s="4">
        <v>50</v>
      </c>
      <c r="B80" s="4">
        <v>0</v>
      </c>
      <c r="C80" s="4">
        <v>0</v>
      </c>
      <c r="D80" s="4">
        <v>1</v>
      </c>
      <c r="E80" s="4">
        <v>225</v>
      </c>
      <c r="F80" s="4">
        <f>ROUND(Source!AV75,O80)</f>
        <v>703093.17</v>
      </c>
      <c r="G80" s="4" t="s">
        <v>116</v>
      </c>
      <c r="H80" s="4" t="s">
        <v>117</v>
      </c>
      <c r="I80" s="4"/>
      <c r="J80" s="4"/>
      <c r="K80" s="4">
        <v>225</v>
      </c>
      <c r="L80" s="4">
        <v>4</v>
      </c>
      <c r="M80" s="4">
        <v>3</v>
      </c>
      <c r="N80" s="4" t="s">
        <v>6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3" x14ac:dyDescent="0.2">
      <c r="A81" s="4">
        <v>50</v>
      </c>
      <c r="B81" s="4">
        <v>0</v>
      </c>
      <c r="C81" s="4">
        <v>0</v>
      </c>
      <c r="D81" s="4">
        <v>1</v>
      </c>
      <c r="E81" s="4">
        <v>226</v>
      </c>
      <c r="F81" s="4">
        <f>ROUND(Source!AW75,O81)</f>
        <v>703093.17</v>
      </c>
      <c r="G81" s="4" t="s">
        <v>118</v>
      </c>
      <c r="H81" s="4" t="s">
        <v>119</v>
      </c>
      <c r="I81" s="4"/>
      <c r="J81" s="4"/>
      <c r="K81" s="4">
        <v>226</v>
      </c>
      <c r="L81" s="4">
        <v>5</v>
      </c>
      <c r="M81" s="4">
        <v>3</v>
      </c>
      <c r="N81" s="4" t="s">
        <v>6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3" x14ac:dyDescent="0.2">
      <c r="A82" s="4">
        <v>50</v>
      </c>
      <c r="B82" s="4">
        <v>0</v>
      </c>
      <c r="C82" s="4">
        <v>0</v>
      </c>
      <c r="D82" s="4">
        <v>1</v>
      </c>
      <c r="E82" s="4">
        <v>227</v>
      </c>
      <c r="F82" s="4">
        <f>ROUND(Source!AX75,O82)</f>
        <v>0</v>
      </c>
      <c r="G82" s="4" t="s">
        <v>120</v>
      </c>
      <c r="H82" s="4" t="s">
        <v>121</v>
      </c>
      <c r="I82" s="4"/>
      <c r="J82" s="4"/>
      <c r="K82" s="4">
        <v>227</v>
      </c>
      <c r="L82" s="4">
        <v>6</v>
      </c>
      <c r="M82" s="4">
        <v>3</v>
      </c>
      <c r="N82" s="4" t="s">
        <v>6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3" x14ac:dyDescent="0.2">
      <c r="A83" s="4">
        <v>50</v>
      </c>
      <c r="B83" s="4">
        <v>0</v>
      </c>
      <c r="C83" s="4">
        <v>0</v>
      </c>
      <c r="D83" s="4">
        <v>1</v>
      </c>
      <c r="E83" s="4">
        <v>228</v>
      </c>
      <c r="F83" s="4">
        <f>ROUND(Source!AY75,O83)</f>
        <v>703093.17</v>
      </c>
      <c r="G83" s="4" t="s">
        <v>122</v>
      </c>
      <c r="H83" s="4" t="s">
        <v>123</v>
      </c>
      <c r="I83" s="4"/>
      <c r="J83" s="4"/>
      <c r="K83" s="4">
        <v>228</v>
      </c>
      <c r="L83" s="4">
        <v>7</v>
      </c>
      <c r="M83" s="4">
        <v>3</v>
      </c>
      <c r="N83" s="4" t="s">
        <v>6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3" x14ac:dyDescent="0.2">
      <c r="A84" s="4">
        <v>50</v>
      </c>
      <c r="B84" s="4">
        <v>0</v>
      </c>
      <c r="C84" s="4">
        <v>0</v>
      </c>
      <c r="D84" s="4">
        <v>1</v>
      </c>
      <c r="E84" s="4">
        <v>216</v>
      </c>
      <c r="F84" s="4">
        <f>ROUND(Source!AP75,O84)</f>
        <v>0</v>
      </c>
      <c r="G84" s="4" t="s">
        <v>124</v>
      </c>
      <c r="H84" s="4" t="s">
        <v>125</v>
      </c>
      <c r="I84" s="4"/>
      <c r="J84" s="4"/>
      <c r="K84" s="4">
        <v>216</v>
      </c>
      <c r="L84" s="4">
        <v>8</v>
      </c>
      <c r="M84" s="4">
        <v>3</v>
      </c>
      <c r="N84" s="4" t="s">
        <v>6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3" x14ac:dyDescent="0.2">
      <c r="A85" s="4">
        <v>50</v>
      </c>
      <c r="B85" s="4">
        <v>0</v>
      </c>
      <c r="C85" s="4">
        <v>0</v>
      </c>
      <c r="D85" s="4">
        <v>1</v>
      </c>
      <c r="E85" s="4">
        <v>223</v>
      </c>
      <c r="F85" s="4">
        <f>ROUND(Source!AQ75,O85)</f>
        <v>0</v>
      </c>
      <c r="G85" s="4" t="s">
        <v>126</v>
      </c>
      <c r="H85" s="4" t="s">
        <v>127</v>
      </c>
      <c r="I85" s="4"/>
      <c r="J85" s="4"/>
      <c r="K85" s="4">
        <v>223</v>
      </c>
      <c r="L85" s="4">
        <v>9</v>
      </c>
      <c r="M85" s="4">
        <v>3</v>
      </c>
      <c r="N85" s="4" t="s">
        <v>6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3" x14ac:dyDescent="0.2">
      <c r="A86" s="4">
        <v>50</v>
      </c>
      <c r="B86" s="4">
        <v>0</v>
      </c>
      <c r="C86" s="4">
        <v>0</v>
      </c>
      <c r="D86" s="4">
        <v>1</v>
      </c>
      <c r="E86" s="4">
        <v>229</v>
      </c>
      <c r="F86" s="4">
        <f>ROUND(Source!AZ75,O86)</f>
        <v>0</v>
      </c>
      <c r="G86" s="4" t="s">
        <v>128</v>
      </c>
      <c r="H86" s="4" t="s">
        <v>129</v>
      </c>
      <c r="I86" s="4"/>
      <c r="J86" s="4"/>
      <c r="K86" s="4">
        <v>229</v>
      </c>
      <c r="L86" s="4">
        <v>10</v>
      </c>
      <c r="M86" s="4">
        <v>3</v>
      </c>
      <c r="N86" s="4" t="s">
        <v>6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3" x14ac:dyDescent="0.2">
      <c r="A87" s="4">
        <v>50</v>
      </c>
      <c r="B87" s="4">
        <v>0</v>
      </c>
      <c r="C87" s="4">
        <v>0</v>
      </c>
      <c r="D87" s="4">
        <v>1</v>
      </c>
      <c r="E87" s="4">
        <v>203</v>
      </c>
      <c r="F87" s="4">
        <f>ROUND(Source!Q75,O87)</f>
        <v>4974.72</v>
      </c>
      <c r="G87" s="4" t="s">
        <v>130</v>
      </c>
      <c r="H87" s="4" t="s">
        <v>131</v>
      </c>
      <c r="I87" s="4"/>
      <c r="J87" s="4"/>
      <c r="K87" s="4">
        <v>203</v>
      </c>
      <c r="L87" s="4">
        <v>11</v>
      </c>
      <c r="M87" s="4">
        <v>3</v>
      </c>
      <c r="N87" s="4" t="s">
        <v>6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3" x14ac:dyDescent="0.2">
      <c r="A88" s="4">
        <v>50</v>
      </c>
      <c r="B88" s="4">
        <v>0</v>
      </c>
      <c r="C88" s="4">
        <v>0</v>
      </c>
      <c r="D88" s="4">
        <v>1</v>
      </c>
      <c r="E88" s="4">
        <v>231</v>
      </c>
      <c r="F88" s="4">
        <f>ROUND(Source!BB75,O88)</f>
        <v>0</v>
      </c>
      <c r="G88" s="4" t="s">
        <v>132</v>
      </c>
      <c r="H88" s="4" t="s">
        <v>133</v>
      </c>
      <c r="I88" s="4"/>
      <c r="J88" s="4"/>
      <c r="K88" s="4">
        <v>231</v>
      </c>
      <c r="L88" s="4">
        <v>12</v>
      </c>
      <c r="M88" s="4">
        <v>3</v>
      </c>
      <c r="N88" s="4" t="s">
        <v>6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3" x14ac:dyDescent="0.2">
      <c r="A89" s="4">
        <v>50</v>
      </c>
      <c r="B89" s="4">
        <v>0</v>
      </c>
      <c r="C89" s="4">
        <v>0</v>
      </c>
      <c r="D89" s="4">
        <v>1</v>
      </c>
      <c r="E89" s="4">
        <v>204</v>
      </c>
      <c r="F89" s="4">
        <f>ROUND(Source!R75,O89)</f>
        <v>1457.51</v>
      </c>
      <c r="G89" s="4" t="s">
        <v>134</v>
      </c>
      <c r="H89" s="4" t="s">
        <v>135</v>
      </c>
      <c r="I89" s="4"/>
      <c r="J89" s="4"/>
      <c r="K89" s="4">
        <v>204</v>
      </c>
      <c r="L89" s="4">
        <v>13</v>
      </c>
      <c r="M89" s="4">
        <v>3</v>
      </c>
      <c r="N89" s="4" t="s">
        <v>6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3" x14ac:dyDescent="0.2">
      <c r="A90" s="4">
        <v>50</v>
      </c>
      <c r="B90" s="4">
        <v>0</v>
      </c>
      <c r="C90" s="4">
        <v>0</v>
      </c>
      <c r="D90" s="4">
        <v>1</v>
      </c>
      <c r="E90" s="4">
        <v>205</v>
      </c>
      <c r="F90" s="4">
        <f>ROUND(Source!S75,O90)</f>
        <v>35076.21</v>
      </c>
      <c r="G90" s="4" t="s">
        <v>136</v>
      </c>
      <c r="H90" s="4" t="s">
        <v>137</v>
      </c>
      <c r="I90" s="4"/>
      <c r="J90" s="4"/>
      <c r="K90" s="4">
        <v>205</v>
      </c>
      <c r="L90" s="4">
        <v>14</v>
      </c>
      <c r="M90" s="4">
        <v>3</v>
      </c>
      <c r="N90" s="4" t="s">
        <v>6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3" x14ac:dyDescent="0.2">
      <c r="A91" s="4">
        <v>50</v>
      </c>
      <c r="B91" s="4">
        <v>0</v>
      </c>
      <c r="C91" s="4">
        <v>0</v>
      </c>
      <c r="D91" s="4">
        <v>1</v>
      </c>
      <c r="E91" s="4">
        <v>232</v>
      </c>
      <c r="F91" s="4">
        <f>ROUND(Source!BC75,O91)</f>
        <v>0</v>
      </c>
      <c r="G91" s="4" t="s">
        <v>138</v>
      </c>
      <c r="H91" s="4" t="s">
        <v>139</v>
      </c>
      <c r="I91" s="4"/>
      <c r="J91" s="4"/>
      <c r="K91" s="4">
        <v>232</v>
      </c>
      <c r="L91" s="4">
        <v>15</v>
      </c>
      <c r="M91" s="4">
        <v>3</v>
      </c>
      <c r="N91" s="4" t="s">
        <v>6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3" x14ac:dyDescent="0.2">
      <c r="A92" s="4">
        <v>50</v>
      </c>
      <c r="B92" s="4">
        <v>0</v>
      </c>
      <c r="C92" s="4">
        <v>0</v>
      </c>
      <c r="D92" s="4">
        <v>1</v>
      </c>
      <c r="E92" s="4">
        <v>214</v>
      </c>
      <c r="F92" s="4">
        <f>ROUND(Source!AS75,O92)</f>
        <v>802344</v>
      </c>
      <c r="G92" s="4" t="s">
        <v>140</v>
      </c>
      <c r="H92" s="4" t="s">
        <v>141</v>
      </c>
      <c r="I92" s="4"/>
      <c r="J92" s="4"/>
      <c r="K92" s="4">
        <v>214</v>
      </c>
      <c r="L92" s="4">
        <v>16</v>
      </c>
      <c r="M92" s="4">
        <v>3</v>
      </c>
      <c r="N92" s="4" t="s">
        <v>6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3" x14ac:dyDescent="0.2">
      <c r="A93" s="4">
        <v>50</v>
      </c>
      <c r="B93" s="4">
        <v>0</v>
      </c>
      <c r="C93" s="4">
        <v>0</v>
      </c>
      <c r="D93" s="4">
        <v>1</v>
      </c>
      <c r="E93" s="4">
        <v>215</v>
      </c>
      <c r="F93" s="4">
        <f>ROUND(Source!AT75,O93)</f>
        <v>0</v>
      </c>
      <c r="G93" s="4" t="s">
        <v>142</v>
      </c>
      <c r="H93" s="4" t="s">
        <v>143</v>
      </c>
      <c r="I93" s="4"/>
      <c r="J93" s="4"/>
      <c r="K93" s="4">
        <v>215</v>
      </c>
      <c r="L93" s="4">
        <v>17</v>
      </c>
      <c r="M93" s="4">
        <v>3</v>
      </c>
      <c r="N93" s="4" t="s">
        <v>6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3" x14ac:dyDescent="0.2">
      <c r="A94" s="4">
        <v>50</v>
      </c>
      <c r="B94" s="4">
        <v>0</v>
      </c>
      <c r="C94" s="4">
        <v>0</v>
      </c>
      <c r="D94" s="4">
        <v>1</v>
      </c>
      <c r="E94" s="4">
        <v>217</v>
      </c>
      <c r="F94" s="4">
        <f>ROUND(Source!AU75,O94)</f>
        <v>0</v>
      </c>
      <c r="G94" s="4" t="s">
        <v>144</v>
      </c>
      <c r="H94" s="4" t="s">
        <v>145</v>
      </c>
      <c r="I94" s="4"/>
      <c r="J94" s="4"/>
      <c r="K94" s="4">
        <v>217</v>
      </c>
      <c r="L94" s="4">
        <v>18</v>
      </c>
      <c r="M94" s="4">
        <v>3</v>
      </c>
      <c r="N94" s="4" t="s">
        <v>6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3" x14ac:dyDescent="0.2">
      <c r="A95" s="4">
        <v>50</v>
      </c>
      <c r="B95" s="4">
        <v>0</v>
      </c>
      <c r="C95" s="4">
        <v>0</v>
      </c>
      <c r="D95" s="4">
        <v>1</v>
      </c>
      <c r="E95" s="4">
        <v>230</v>
      </c>
      <c r="F95" s="4">
        <f>ROUND(Source!BA75,O95)</f>
        <v>0</v>
      </c>
      <c r="G95" s="4" t="s">
        <v>146</v>
      </c>
      <c r="H95" s="4" t="s">
        <v>147</v>
      </c>
      <c r="I95" s="4"/>
      <c r="J95" s="4"/>
      <c r="K95" s="4">
        <v>230</v>
      </c>
      <c r="L95" s="4">
        <v>19</v>
      </c>
      <c r="M95" s="4">
        <v>3</v>
      </c>
      <c r="N95" s="4" t="s">
        <v>6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3" x14ac:dyDescent="0.2">
      <c r="A96" s="4">
        <v>50</v>
      </c>
      <c r="B96" s="4">
        <v>0</v>
      </c>
      <c r="C96" s="4">
        <v>0</v>
      </c>
      <c r="D96" s="4">
        <v>1</v>
      </c>
      <c r="E96" s="4">
        <v>206</v>
      </c>
      <c r="F96" s="4">
        <f>ROUND(Source!T75,O96)</f>
        <v>0</v>
      </c>
      <c r="G96" s="4" t="s">
        <v>148</v>
      </c>
      <c r="H96" s="4" t="s">
        <v>149</v>
      </c>
      <c r="I96" s="4"/>
      <c r="J96" s="4"/>
      <c r="K96" s="4">
        <v>206</v>
      </c>
      <c r="L96" s="4">
        <v>20</v>
      </c>
      <c r="M96" s="4">
        <v>3</v>
      </c>
      <c r="N96" s="4" t="s">
        <v>6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207</v>
      </c>
      <c r="F97" s="4">
        <f>Source!U75</f>
        <v>642.25272219999999</v>
      </c>
      <c r="G97" s="4" t="s">
        <v>150</v>
      </c>
      <c r="H97" s="4" t="s">
        <v>151</v>
      </c>
      <c r="I97" s="4"/>
      <c r="J97" s="4"/>
      <c r="K97" s="4">
        <v>207</v>
      </c>
      <c r="L97" s="4">
        <v>21</v>
      </c>
      <c r="M97" s="4">
        <v>3</v>
      </c>
      <c r="N97" s="4" t="s">
        <v>6</v>
      </c>
      <c r="O97" s="4">
        <v>-1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208</v>
      </c>
      <c r="F98" s="4">
        <f>Source!V75</f>
        <v>17.824902250000001</v>
      </c>
      <c r="G98" s="4" t="s">
        <v>152</v>
      </c>
      <c r="H98" s="4" t="s">
        <v>153</v>
      </c>
      <c r="I98" s="4"/>
      <c r="J98" s="4"/>
      <c r="K98" s="4">
        <v>208</v>
      </c>
      <c r="L98" s="4">
        <v>22</v>
      </c>
      <c r="M98" s="4">
        <v>3</v>
      </c>
      <c r="N98" s="4" t="s">
        <v>6</v>
      </c>
      <c r="O98" s="4">
        <v>-1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209</v>
      </c>
      <c r="F99" s="4">
        <f>ROUND(Source!W75,O99)</f>
        <v>0</v>
      </c>
      <c r="G99" s="4" t="s">
        <v>154</v>
      </c>
      <c r="H99" s="4" t="s">
        <v>155</v>
      </c>
      <c r="I99" s="4"/>
      <c r="J99" s="4"/>
      <c r="K99" s="4">
        <v>209</v>
      </c>
      <c r="L99" s="4">
        <v>23</v>
      </c>
      <c r="M99" s="4">
        <v>3</v>
      </c>
      <c r="N99" s="4" t="s">
        <v>6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210</v>
      </c>
      <c r="F100" s="4">
        <f>ROUND(Source!X75,O100)</f>
        <v>36973.85</v>
      </c>
      <c r="G100" s="4" t="s">
        <v>156</v>
      </c>
      <c r="H100" s="4" t="s">
        <v>157</v>
      </c>
      <c r="I100" s="4"/>
      <c r="J100" s="4"/>
      <c r="K100" s="4">
        <v>210</v>
      </c>
      <c r="L100" s="4">
        <v>24</v>
      </c>
      <c r="M100" s="4">
        <v>3</v>
      </c>
      <c r="N100" s="4" t="s">
        <v>6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211</v>
      </c>
      <c r="F101" s="4">
        <f>ROUND(Source!Y75,O101)</f>
        <v>20043.71</v>
      </c>
      <c r="G101" s="4" t="s">
        <v>158</v>
      </c>
      <c r="H101" s="4" t="s">
        <v>159</v>
      </c>
      <c r="I101" s="4"/>
      <c r="J101" s="4"/>
      <c r="K101" s="4">
        <v>211</v>
      </c>
      <c r="L101" s="4">
        <v>25</v>
      </c>
      <c r="M101" s="4">
        <v>3</v>
      </c>
      <c r="N101" s="4" t="s">
        <v>6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224</v>
      </c>
      <c r="F102" s="4">
        <f>ROUND(Source!AR75,O102)</f>
        <v>802344</v>
      </c>
      <c r="G102" s="4" t="s">
        <v>160</v>
      </c>
      <c r="H102" s="4" t="s">
        <v>161</v>
      </c>
      <c r="I102" s="4"/>
      <c r="J102" s="4"/>
      <c r="K102" s="4">
        <v>224</v>
      </c>
      <c r="L102" s="4">
        <v>26</v>
      </c>
      <c r="M102" s="4">
        <v>3</v>
      </c>
      <c r="N102" s="4" t="s">
        <v>6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5" spans="1:23" x14ac:dyDescent="0.2">
      <c r="A105">
        <v>70</v>
      </c>
      <c r="B105">
        <v>1</v>
      </c>
      <c r="D105">
        <v>1</v>
      </c>
      <c r="E105" t="s">
        <v>167</v>
      </c>
      <c r="F105" t="s">
        <v>168</v>
      </c>
      <c r="G105">
        <v>0</v>
      </c>
      <c r="H105">
        <v>0</v>
      </c>
      <c r="I105" t="s">
        <v>6</v>
      </c>
      <c r="J105">
        <v>1</v>
      </c>
      <c r="K105">
        <v>0</v>
      </c>
      <c r="L105" t="s">
        <v>6</v>
      </c>
      <c r="M105" t="s">
        <v>6</v>
      </c>
      <c r="N105">
        <v>0</v>
      </c>
    </row>
    <row r="106" spans="1:23" x14ac:dyDescent="0.2">
      <c r="A106">
        <v>70</v>
      </c>
      <c r="B106">
        <v>1</v>
      </c>
      <c r="D106">
        <v>2</v>
      </c>
      <c r="E106" t="s">
        <v>169</v>
      </c>
      <c r="F106" t="s">
        <v>170</v>
      </c>
      <c r="G106">
        <v>1</v>
      </c>
      <c r="H106">
        <v>0</v>
      </c>
      <c r="I106" t="s">
        <v>6</v>
      </c>
      <c r="J106">
        <v>1</v>
      </c>
      <c r="K106">
        <v>0</v>
      </c>
      <c r="L106" t="s">
        <v>6</v>
      </c>
      <c r="M106" t="s">
        <v>6</v>
      </c>
      <c r="N106">
        <v>0</v>
      </c>
    </row>
    <row r="107" spans="1:23" x14ac:dyDescent="0.2">
      <c r="A107">
        <v>70</v>
      </c>
      <c r="B107">
        <v>1</v>
      </c>
      <c r="D107">
        <v>3</v>
      </c>
      <c r="E107" t="s">
        <v>171</v>
      </c>
      <c r="F107" t="s">
        <v>172</v>
      </c>
      <c r="G107">
        <v>0</v>
      </c>
      <c r="H107">
        <v>0</v>
      </c>
      <c r="I107" t="s">
        <v>6</v>
      </c>
      <c r="J107">
        <v>1</v>
      </c>
      <c r="K107">
        <v>0</v>
      </c>
      <c r="L107" t="s">
        <v>6</v>
      </c>
      <c r="M107" t="s">
        <v>6</v>
      </c>
      <c r="N107">
        <v>0</v>
      </c>
    </row>
    <row r="108" spans="1:23" x14ac:dyDescent="0.2">
      <c r="A108">
        <v>70</v>
      </c>
      <c r="B108">
        <v>1</v>
      </c>
      <c r="D108">
        <v>4</v>
      </c>
      <c r="E108" t="s">
        <v>173</v>
      </c>
      <c r="F108" t="s">
        <v>174</v>
      </c>
      <c r="G108">
        <v>0</v>
      </c>
      <c r="H108">
        <v>0</v>
      </c>
      <c r="I108" t="s">
        <v>175</v>
      </c>
      <c r="J108">
        <v>0</v>
      </c>
      <c r="K108">
        <v>0</v>
      </c>
      <c r="L108" t="s">
        <v>6</v>
      </c>
      <c r="M108" t="s">
        <v>6</v>
      </c>
      <c r="N108">
        <v>0</v>
      </c>
    </row>
    <row r="109" spans="1:23" x14ac:dyDescent="0.2">
      <c r="A109">
        <v>70</v>
      </c>
      <c r="B109">
        <v>1</v>
      </c>
      <c r="D109">
        <v>5</v>
      </c>
      <c r="E109" t="s">
        <v>176</v>
      </c>
      <c r="F109" t="s">
        <v>177</v>
      </c>
      <c r="G109">
        <v>0</v>
      </c>
      <c r="H109">
        <v>0</v>
      </c>
      <c r="I109" t="s">
        <v>178</v>
      </c>
      <c r="J109">
        <v>0</v>
      </c>
      <c r="K109">
        <v>0</v>
      </c>
      <c r="L109" t="s">
        <v>6</v>
      </c>
      <c r="M109" t="s">
        <v>6</v>
      </c>
      <c r="N109">
        <v>0</v>
      </c>
    </row>
    <row r="110" spans="1:23" x14ac:dyDescent="0.2">
      <c r="A110">
        <v>70</v>
      </c>
      <c r="B110">
        <v>1</v>
      </c>
      <c r="D110">
        <v>6</v>
      </c>
      <c r="E110" t="s">
        <v>179</v>
      </c>
      <c r="F110" t="s">
        <v>180</v>
      </c>
      <c r="G110">
        <v>0</v>
      </c>
      <c r="H110">
        <v>0</v>
      </c>
      <c r="I110" t="s">
        <v>181</v>
      </c>
      <c r="J110">
        <v>0</v>
      </c>
      <c r="K110">
        <v>0</v>
      </c>
      <c r="L110" t="s">
        <v>6</v>
      </c>
      <c r="M110" t="s">
        <v>6</v>
      </c>
      <c r="N110">
        <v>0</v>
      </c>
    </row>
    <row r="111" spans="1:23" x14ac:dyDescent="0.2">
      <c r="A111">
        <v>70</v>
      </c>
      <c r="B111">
        <v>1</v>
      </c>
      <c r="D111">
        <v>7</v>
      </c>
      <c r="E111" t="s">
        <v>182</v>
      </c>
      <c r="F111" t="s">
        <v>183</v>
      </c>
      <c r="G111">
        <v>0</v>
      </c>
      <c r="H111">
        <v>0</v>
      </c>
      <c r="I111" t="s">
        <v>6</v>
      </c>
      <c r="J111">
        <v>0</v>
      </c>
      <c r="K111">
        <v>0</v>
      </c>
      <c r="L111" t="s">
        <v>6</v>
      </c>
      <c r="M111" t="s">
        <v>6</v>
      </c>
      <c r="N111">
        <v>0</v>
      </c>
    </row>
    <row r="112" spans="1:23" x14ac:dyDescent="0.2">
      <c r="A112">
        <v>70</v>
      </c>
      <c r="B112">
        <v>1</v>
      </c>
      <c r="D112">
        <v>8</v>
      </c>
      <c r="E112" t="s">
        <v>184</v>
      </c>
      <c r="F112" t="s">
        <v>185</v>
      </c>
      <c r="G112">
        <v>0</v>
      </c>
      <c r="H112">
        <v>0</v>
      </c>
      <c r="I112" t="s">
        <v>186</v>
      </c>
      <c r="J112">
        <v>0</v>
      </c>
      <c r="K112">
        <v>0</v>
      </c>
      <c r="L112" t="s">
        <v>6</v>
      </c>
      <c r="M112" t="s">
        <v>6</v>
      </c>
      <c r="N112">
        <v>0</v>
      </c>
    </row>
    <row r="113" spans="1:14" x14ac:dyDescent="0.2">
      <c r="A113">
        <v>70</v>
      </c>
      <c r="B113">
        <v>1</v>
      </c>
      <c r="D113">
        <v>9</v>
      </c>
      <c r="E113" t="s">
        <v>187</v>
      </c>
      <c r="F113" t="s">
        <v>188</v>
      </c>
      <c r="G113">
        <v>0</v>
      </c>
      <c r="H113">
        <v>0</v>
      </c>
      <c r="I113" t="s">
        <v>189</v>
      </c>
      <c r="J113">
        <v>0</v>
      </c>
      <c r="K113">
        <v>0</v>
      </c>
      <c r="L113" t="s">
        <v>6</v>
      </c>
      <c r="M113" t="s">
        <v>6</v>
      </c>
      <c r="N113">
        <v>0</v>
      </c>
    </row>
    <row r="114" spans="1:14" x14ac:dyDescent="0.2">
      <c r="A114">
        <v>70</v>
      </c>
      <c r="B114">
        <v>1</v>
      </c>
      <c r="D114">
        <v>10</v>
      </c>
      <c r="E114" t="s">
        <v>190</v>
      </c>
      <c r="F114" t="s">
        <v>191</v>
      </c>
      <c r="G114">
        <v>0</v>
      </c>
      <c r="H114">
        <v>0</v>
      </c>
      <c r="I114" t="s">
        <v>192</v>
      </c>
      <c r="J114">
        <v>0</v>
      </c>
      <c r="K114">
        <v>0</v>
      </c>
      <c r="L114" t="s">
        <v>6</v>
      </c>
      <c r="M114" t="s">
        <v>6</v>
      </c>
      <c r="N114">
        <v>0</v>
      </c>
    </row>
    <row r="115" spans="1:14" x14ac:dyDescent="0.2">
      <c r="A115">
        <v>70</v>
      </c>
      <c r="B115">
        <v>1</v>
      </c>
      <c r="D115">
        <v>11</v>
      </c>
      <c r="E115" t="s">
        <v>193</v>
      </c>
      <c r="F115" t="s">
        <v>194</v>
      </c>
      <c r="G115">
        <v>0</v>
      </c>
      <c r="H115">
        <v>0</v>
      </c>
      <c r="I115" t="s">
        <v>195</v>
      </c>
      <c r="J115">
        <v>0</v>
      </c>
      <c r="K115">
        <v>0</v>
      </c>
      <c r="L115" t="s">
        <v>6</v>
      </c>
      <c r="M115" t="s">
        <v>6</v>
      </c>
      <c r="N115">
        <v>0</v>
      </c>
    </row>
    <row r="116" spans="1:14" x14ac:dyDescent="0.2">
      <c r="A116">
        <v>70</v>
      </c>
      <c r="B116">
        <v>1</v>
      </c>
      <c r="D116">
        <v>12</v>
      </c>
      <c r="E116" t="s">
        <v>196</v>
      </c>
      <c r="F116" t="s">
        <v>197</v>
      </c>
      <c r="G116">
        <v>0</v>
      </c>
      <c r="H116">
        <v>0</v>
      </c>
      <c r="I116" t="s">
        <v>6</v>
      </c>
      <c r="J116">
        <v>0</v>
      </c>
      <c r="K116">
        <v>0</v>
      </c>
      <c r="L116" t="s">
        <v>6</v>
      </c>
      <c r="M116" t="s">
        <v>6</v>
      </c>
      <c r="N116">
        <v>0</v>
      </c>
    </row>
    <row r="117" spans="1:14" x14ac:dyDescent="0.2">
      <c r="A117">
        <v>70</v>
      </c>
      <c r="B117">
        <v>1</v>
      </c>
      <c r="D117">
        <v>1</v>
      </c>
      <c r="E117" t="s">
        <v>198</v>
      </c>
      <c r="F117" t="s">
        <v>199</v>
      </c>
      <c r="G117">
        <v>0.9</v>
      </c>
      <c r="H117">
        <v>1</v>
      </c>
      <c r="I117" t="s">
        <v>200</v>
      </c>
      <c r="J117">
        <v>0</v>
      </c>
      <c r="K117">
        <v>0</v>
      </c>
      <c r="L117" t="s">
        <v>6</v>
      </c>
      <c r="M117" t="s">
        <v>6</v>
      </c>
      <c r="N117">
        <v>0</v>
      </c>
    </row>
    <row r="118" spans="1:14" x14ac:dyDescent="0.2">
      <c r="A118">
        <v>70</v>
      </c>
      <c r="B118">
        <v>1</v>
      </c>
      <c r="D118">
        <v>2</v>
      </c>
      <c r="E118" t="s">
        <v>201</v>
      </c>
      <c r="F118" t="s">
        <v>202</v>
      </c>
      <c r="G118">
        <v>0.85</v>
      </c>
      <c r="H118">
        <v>1</v>
      </c>
      <c r="I118" t="s">
        <v>203</v>
      </c>
      <c r="J118">
        <v>0</v>
      </c>
      <c r="K118">
        <v>0</v>
      </c>
      <c r="L118" t="s">
        <v>6</v>
      </c>
      <c r="M118" t="s">
        <v>6</v>
      </c>
      <c r="N118">
        <v>0</v>
      </c>
    </row>
    <row r="119" spans="1:14" x14ac:dyDescent="0.2">
      <c r="A119">
        <v>70</v>
      </c>
      <c r="B119">
        <v>1</v>
      </c>
      <c r="D119">
        <v>3</v>
      </c>
      <c r="E119" t="s">
        <v>204</v>
      </c>
      <c r="F119" t="s">
        <v>205</v>
      </c>
      <c r="G119">
        <v>1</v>
      </c>
      <c r="H119">
        <v>0.85</v>
      </c>
      <c r="I119" t="s">
        <v>206</v>
      </c>
      <c r="J119">
        <v>0</v>
      </c>
      <c r="K119">
        <v>0</v>
      </c>
      <c r="L119" t="s">
        <v>6</v>
      </c>
      <c r="M119" t="s">
        <v>6</v>
      </c>
      <c r="N119">
        <v>0</v>
      </c>
    </row>
    <row r="120" spans="1:14" x14ac:dyDescent="0.2">
      <c r="A120">
        <v>70</v>
      </c>
      <c r="B120">
        <v>1</v>
      </c>
      <c r="D120">
        <v>4</v>
      </c>
      <c r="E120" t="s">
        <v>207</v>
      </c>
      <c r="F120" t="s">
        <v>208</v>
      </c>
      <c r="G120">
        <v>1</v>
      </c>
      <c r="H120">
        <v>0</v>
      </c>
      <c r="I120" t="s">
        <v>6</v>
      </c>
      <c r="J120">
        <v>0</v>
      </c>
      <c r="K120">
        <v>0</v>
      </c>
      <c r="L120" t="s">
        <v>6</v>
      </c>
      <c r="M120" t="s">
        <v>6</v>
      </c>
      <c r="N120">
        <v>0</v>
      </c>
    </row>
    <row r="121" spans="1:14" x14ac:dyDescent="0.2">
      <c r="A121">
        <v>70</v>
      </c>
      <c r="B121">
        <v>1</v>
      </c>
      <c r="D121">
        <v>5</v>
      </c>
      <c r="E121" t="s">
        <v>209</v>
      </c>
      <c r="F121" t="s">
        <v>210</v>
      </c>
      <c r="G121">
        <v>1</v>
      </c>
      <c r="H121">
        <v>0.8</v>
      </c>
      <c r="I121" t="s">
        <v>211</v>
      </c>
      <c r="J121">
        <v>0</v>
      </c>
      <c r="K121">
        <v>0</v>
      </c>
      <c r="L121" t="s">
        <v>6</v>
      </c>
      <c r="M121" t="s">
        <v>6</v>
      </c>
      <c r="N121">
        <v>0</v>
      </c>
    </row>
    <row r="122" spans="1:14" x14ac:dyDescent="0.2">
      <c r="A122">
        <v>70</v>
      </c>
      <c r="B122">
        <v>1</v>
      </c>
      <c r="D122">
        <v>6</v>
      </c>
      <c r="E122" t="s">
        <v>212</v>
      </c>
      <c r="F122" t="s">
        <v>213</v>
      </c>
      <c r="G122">
        <v>0.85</v>
      </c>
      <c r="H122">
        <v>0</v>
      </c>
      <c r="I122" t="s">
        <v>6</v>
      </c>
      <c r="J122">
        <v>0</v>
      </c>
      <c r="K122">
        <v>0</v>
      </c>
      <c r="L122" t="s">
        <v>6</v>
      </c>
      <c r="M122" t="s">
        <v>6</v>
      </c>
      <c r="N122">
        <v>0</v>
      </c>
    </row>
    <row r="123" spans="1:14" x14ac:dyDescent="0.2">
      <c r="A123">
        <v>70</v>
      </c>
      <c r="B123">
        <v>1</v>
      </c>
      <c r="D123">
        <v>7</v>
      </c>
      <c r="E123" t="s">
        <v>214</v>
      </c>
      <c r="F123" t="s">
        <v>215</v>
      </c>
      <c r="G123">
        <v>0.8</v>
      </c>
      <c r="H123">
        <v>0</v>
      </c>
      <c r="I123" t="s">
        <v>6</v>
      </c>
      <c r="J123">
        <v>0</v>
      </c>
      <c r="K123">
        <v>0</v>
      </c>
      <c r="L123" t="s">
        <v>6</v>
      </c>
      <c r="M123" t="s">
        <v>6</v>
      </c>
      <c r="N123">
        <v>0</v>
      </c>
    </row>
    <row r="124" spans="1:14" x14ac:dyDescent="0.2">
      <c r="A124">
        <v>70</v>
      </c>
      <c r="B124">
        <v>1</v>
      </c>
      <c r="D124">
        <v>8</v>
      </c>
      <c r="E124" t="s">
        <v>216</v>
      </c>
      <c r="F124" t="s">
        <v>217</v>
      </c>
      <c r="G124">
        <v>0.94</v>
      </c>
      <c r="H124">
        <v>0</v>
      </c>
      <c r="I124" t="s">
        <v>6</v>
      </c>
      <c r="J124">
        <v>0</v>
      </c>
      <c r="K124">
        <v>0</v>
      </c>
      <c r="L124" t="s">
        <v>6</v>
      </c>
      <c r="M124" t="s">
        <v>6</v>
      </c>
      <c r="N124">
        <v>0</v>
      </c>
    </row>
    <row r="125" spans="1:14" x14ac:dyDescent="0.2">
      <c r="A125">
        <v>70</v>
      </c>
      <c r="B125">
        <v>1</v>
      </c>
      <c r="D125">
        <v>9</v>
      </c>
      <c r="E125" t="s">
        <v>218</v>
      </c>
      <c r="F125" t="s">
        <v>219</v>
      </c>
      <c r="G125">
        <v>0.9</v>
      </c>
      <c r="H125">
        <v>0</v>
      </c>
      <c r="I125" t="s">
        <v>6</v>
      </c>
      <c r="J125">
        <v>0</v>
      </c>
      <c r="K125">
        <v>0</v>
      </c>
      <c r="L125" t="s">
        <v>6</v>
      </c>
      <c r="M125" t="s">
        <v>6</v>
      </c>
      <c r="N125">
        <v>0</v>
      </c>
    </row>
    <row r="126" spans="1:14" x14ac:dyDescent="0.2">
      <c r="A126">
        <v>70</v>
      </c>
      <c r="B126">
        <v>1</v>
      </c>
      <c r="D126">
        <v>10</v>
      </c>
      <c r="E126" t="s">
        <v>220</v>
      </c>
      <c r="F126" t="s">
        <v>221</v>
      </c>
      <c r="G126">
        <v>0.6</v>
      </c>
      <c r="H126">
        <v>0</v>
      </c>
      <c r="I126" t="s">
        <v>6</v>
      </c>
      <c r="J126">
        <v>0</v>
      </c>
      <c r="K126">
        <v>0</v>
      </c>
      <c r="L126" t="s">
        <v>6</v>
      </c>
      <c r="M126" t="s">
        <v>6</v>
      </c>
      <c r="N126">
        <v>0</v>
      </c>
    </row>
    <row r="127" spans="1:14" x14ac:dyDescent="0.2">
      <c r="A127">
        <v>70</v>
      </c>
      <c r="B127">
        <v>1</v>
      </c>
      <c r="D127">
        <v>11</v>
      </c>
      <c r="E127" t="s">
        <v>222</v>
      </c>
      <c r="F127" t="s">
        <v>223</v>
      </c>
      <c r="G127">
        <v>1.2</v>
      </c>
      <c r="H127">
        <v>0</v>
      </c>
      <c r="I127" t="s">
        <v>6</v>
      </c>
      <c r="J127">
        <v>0</v>
      </c>
      <c r="K127">
        <v>0</v>
      </c>
      <c r="L127" t="s">
        <v>6</v>
      </c>
      <c r="M127" t="s">
        <v>6</v>
      </c>
      <c r="N127">
        <v>0</v>
      </c>
    </row>
    <row r="128" spans="1:14" x14ac:dyDescent="0.2">
      <c r="A128">
        <v>70</v>
      </c>
      <c r="B128">
        <v>1</v>
      </c>
      <c r="D128">
        <v>12</v>
      </c>
      <c r="E128" t="s">
        <v>224</v>
      </c>
      <c r="F128" t="s">
        <v>225</v>
      </c>
      <c r="G128">
        <v>0</v>
      </c>
      <c r="H128">
        <v>0</v>
      </c>
      <c r="I128" t="s">
        <v>6</v>
      </c>
      <c r="J128">
        <v>0</v>
      </c>
      <c r="K128">
        <v>0</v>
      </c>
      <c r="L128" t="s">
        <v>6</v>
      </c>
      <c r="M128" t="s">
        <v>6</v>
      </c>
      <c r="N128">
        <v>0</v>
      </c>
    </row>
    <row r="129" spans="1:34" x14ac:dyDescent="0.2">
      <c r="A129">
        <v>70</v>
      </c>
      <c r="B129">
        <v>1</v>
      </c>
      <c r="D129">
        <v>13</v>
      </c>
      <c r="E129" t="s">
        <v>226</v>
      </c>
      <c r="F129" t="s">
        <v>227</v>
      </c>
      <c r="G129">
        <v>0.94</v>
      </c>
      <c r="H129">
        <v>0</v>
      </c>
      <c r="I129" t="s">
        <v>6</v>
      </c>
      <c r="J129">
        <v>0</v>
      </c>
      <c r="K129">
        <v>0</v>
      </c>
      <c r="L129" t="s">
        <v>6</v>
      </c>
      <c r="M129" t="s">
        <v>6</v>
      </c>
      <c r="N129">
        <v>0</v>
      </c>
    </row>
    <row r="131" spans="1:34" x14ac:dyDescent="0.2">
      <c r="A131">
        <v>-1</v>
      </c>
    </row>
    <row r="133" spans="1:34" x14ac:dyDescent="0.2">
      <c r="A133" s="3">
        <v>75</v>
      </c>
      <c r="B133" s="3" t="s">
        <v>228</v>
      </c>
      <c r="C133" s="3">
        <v>2017</v>
      </c>
      <c r="D133" s="3">
        <v>4</v>
      </c>
      <c r="E133" s="3">
        <v>0</v>
      </c>
      <c r="F133" s="3">
        <v>0</v>
      </c>
      <c r="G133" s="3">
        <v>0</v>
      </c>
      <c r="H133" s="3">
        <v>1</v>
      </c>
      <c r="I133" s="3">
        <v>0</v>
      </c>
      <c r="J133" s="3">
        <v>1</v>
      </c>
      <c r="K133" s="3">
        <v>0</v>
      </c>
      <c r="L133" s="3">
        <v>0</v>
      </c>
      <c r="M133" s="3">
        <v>0</v>
      </c>
      <c r="N133" s="3">
        <v>16628881</v>
      </c>
      <c r="O133" s="3">
        <v>1</v>
      </c>
    </row>
    <row r="134" spans="1:34" x14ac:dyDescent="0.2">
      <c r="A134" s="5">
        <v>3</v>
      </c>
      <c r="B134" s="5" t="s">
        <v>229</v>
      </c>
      <c r="C134" s="5">
        <v>6.38</v>
      </c>
      <c r="D134" s="5">
        <v>1</v>
      </c>
      <c r="E134" s="5">
        <v>1</v>
      </c>
      <c r="F134" s="5">
        <v>1</v>
      </c>
      <c r="G134" s="5">
        <v>1</v>
      </c>
      <c r="H134" s="5">
        <v>1</v>
      </c>
      <c r="I134" s="5">
        <v>1</v>
      </c>
      <c r="J134" s="5">
        <v>1</v>
      </c>
      <c r="K134" s="5">
        <v>1</v>
      </c>
      <c r="L134" s="5">
        <v>1</v>
      </c>
      <c r="M134" s="5">
        <v>6.38</v>
      </c>
      <c r="N134" s="5">
        <v>1</v>
      </c>
      <c r="O134" s="5">
        <v>1</v>
      </c>
      <c r="P134" s="5">
        <v>1</v>
      </c>
      <c r="Q134" s="5">
        <v>1</v>
      </c>
      <c r="R134" s="5">
        <v>1</v>
      </c>
      <c r="S134" s="5" t="s">
        <v>6</v>
      </c>
      <c r="T134" s="5" t="s">
        <v>6</v>
      </c>
      <c r="U134" s="5" t="s">
        <v>6</v>
      </c>
      <c r="V134" s="5" t="s">
        <v>6</v>
      </c>
      <c r="W134" s="5" t="s">
        <v>6</v>
      </c>
      <c r="X134" s="5" t="s">
        <v>6</v>
      </c>
      <c r="Y134" s="5" t="s">
        <v>6</v>
      </c>
      <c r="Z134" s="5" t="s">
        <v>6</v>
      </c>
      <c r="AA134" s="5" t="s">
        <v>6</v>
      </c>
      <c r="AB134" s="5" t="s">
        <v>6</v>
      </c>
      <c r="AC134" s="5" t="s">
        <v>6</v>
      </c>
      <c r="AD134" s="5" t="s">
        <v>6</v>
      </c>
      <c r="AE134" s="5" t="s">
        <v>6</v>
      </c>
      <c r="AF134" s="5" t="s">
        <v>6</v>
      </c>
      <c r="AG134" s="5" t="s">
        <v>6</v>
      </c>
      <c r="AH134" s="5" t="s">
        <v>6</v>
      </c>
    </row>
    <row r="138" spans="1:34" x14ac:dyDescent="0.2">
      <c r="A138">
        <v>65</v>
      </c>
      <c r="C138">
        <v>1</v>
      </c>
      <c r="D138">
        <v>0</v>
      </c>
      <c r="E138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230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16628881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12</v>
      </c>
      <c r="D16" s="6" t="s">
        <v>12</v>
      </c>
      <c r="E16" s="7">
        <f>(Source!F60)/1000</f>
        <v>802.34400000000005</v>
      </c>
      <c r="F16" s="7">
        <f>(Source!F61)/1000</f>
        <v>0</v>
      </c>
      <c r="G16" s="7">
        <f>(Source!F52)/1000</f>
        <v>0</v>
      </c>
      <c r="H16" s="7">
        <f>(Source!F62)/1000+(Source!F63)/1000</f>
        <v>0</v>
      </c>
      <c r="I16" s="7">
        <f>E16+F16+G16+H16</f>
        <v>802.34400000000005</v>
      </c>
      <c r="J16" s="7">
        <f>(Source!F58)/1000</f>
        <v>35.076209999999996</v>
      </c>
      <c r="AI16" s="6">
        <v>0</v>
      </c>
      <c r="AJ16" s="6">
        <v>0</v>
      </c>
      <c r="AK16" s="6" t="s">
        <v>6</v>
      </c>
      <c r="AL16" s="6" t="s">
        <v>6</v>
      </c>
      <c r="AM16" s="6" t="s">
        <v>6</v>
      </c>
      <c r="AN16" s="6">
        <v>0</v>
      </c>
      <c r="AO16" s="6" t="s">
        <v>6</v>
      </c>
      <c r="AP16" s="6" t="s">
        <v>6</v>
      </c>
      <c r="AT16" s="7">
        <v>743144.1</v>
      </c>
      <c r="AU16" s="7">
        <v>703093.17</v>
      </c>
      <c r="AV16" s="7">
        <v>0</v>
      </c>
      <c r="AW16" s="7">
        <v>0</v>
      </c>
      <c r="AX16" s="7">
        <v>0</v>
      </c>
      <c r="AY16" s="7">
        <v>4974.72</v>
      </c>
      <c r="AZ16" s="7">
        <v>1457.51</v>
      </c>
      <c r="BA16" s="7">
        <v>35076.21</v>
      </c>
      <c r="BB16" s="7">
        <v>802344</v>
      </c>
      <c r="BC16" s="7">
        <v>0</v>
      </c>
      <c r="BD16" s="7">
        <v>0</v>
      </c>
      <c r="BE16" s="7">
        <v>0</v>
      </c>
      <c r="BF16" s="7">
        <v>642.25272219999999</v>
      </c>
      <c r="BG16" s="7">
        <v>17.824902250000001</v>
      </c>
      <c r="BH16" s="7">
        <v>0</v>
      </c>
      <c r="BI16" s="7">
        <v>36973.85</v>
      </c>
      <c r="BJ16" s="7">
        <v>20043.71</v>
      </c>
      <c r="BK16" s="7">
        <v>802344</v>
      </c>
    </row>
    <row r="18" spans="1:19" x14ac:dyDescent="0.2">
      <c r="A18">
        <v>51</v>
      </c>
      <c r="E18" s="8">
        <f>SUMIF(A16:A17,3,E16:E17)</f>
        <v>802.34400000000005</v>
      </c>
      <c r="F18" s="8">
        <f>SUMIF(A16:A17,3,F16:F17)</f>
        <v>0</v>
      </c>
      <c r="G18" s="8">
        <f>SUMIF(A16:A17,3,G16:G17)</f>
        <v>0</v>
      </c>
      <c r="H18" s="8">
        <f>SUMIF(A16:A17,3,H16:H17)</f>
        <v>0</v>
      </c>
      <c r="I18" s="8">
        <f>SUMIF(A16:A17,3,I16:I17)</f>
        <v>802.34400000000005</v>
      </c>
      <c r="J18" s="8">
        <f>SUMIF(A16:A17,3,J16:J17)</f>
        <v>35.076209999999996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743144.1</v>
      </c>
      <c r="G20" s="4" t="s">
        <v>110</v>
      </c>
      <c r="H20" s="4" t="s">
        <v>111</v>
      </c>
      <c r="I20" s="4"/>
      <c r="J20" s="4"/>
      <c r="K20" s="4">
        <v>201</v>
      </c>
      <c r="L20" s="4">
        <v>1</v>
      </c>
      <c r="M20" s="4">
        <v>3</v>
      </c>
      <c r="N20" s="4" t="s">
        <v>6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703093.17</v>
      </c>
      <c r="G21" s="4" t="s">
        <v>112</v>
      </c>
      <c r="H21" s="4" t="s">
        <v>113</v>
      </c>
      <c r="I21" s="4"/>
      <c r="J21" s="4"/>
      <c r="K21" s="4">
        <v>202</v>
      </c>
      <c r="L21" s="4">
        <v>2</v>
      </c>
      <c r="M21" s="4">
        <v>3</v>
      </c>
      <c r="N21" s="4" t="s">
        <v>6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114</v>
      </c>
      <c r="H22" s="4" t="s">
        <v>115</v>
      </c>
      <c r="I22" s="4"/>
      <c r="J22" s="4"/>
      <c r="K22" s="4">
        <v>222</v>
      </c>
      <c r="L22" s="4">
        <v>3</v>
      </c>
      <c r="M22" s="4">
        <v>3</v>
      </c>
      <c r="N22" s="4" t="s">
        <v>6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703093.17</v>
      </c>
      <c r="G23" s="4" t="s">
        <v>116</v>
      </c>
      <c r="H23" s="4" t="s">
        <v>117</v>
      </c>
      <c r="I23" s="4"/>
      <c r="J23" s="4"/>
      <c r="K23" s="4">
        <v>225</v>
      </c>
      <c r="L23" s="4">
        <v>4</v>
      </c>
      <c r="M23" s="4">
        <v>3</v>
      </c>
      <c r="N23" s="4" t="s">
        <v>6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703093.17</v>
      </c>
      <c r="G24" s="4" t="s">
        <v>118</v>
      </c>
      <c r="H24" s="4" t="s">
        <v>119</v>
      </c>
      <c r="I24" s="4"/>
      <c r="J24" s="4"/>
      <c r="K24" s="4">
        <v>226</v>
      </c>
      <c r="L24" s="4">
        <v>5</v>
      </c>
      <c r="M24" s="4">
        <v>3</v>
      </c>
      <c r="N24" s="4" t="s">
        <v>6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120</v>
      </c>
      <c r="H25" s="4" t="s">
        <v>121</v>
      </c>
      <c r="I25" s="4"/>
      <c r="J25" s="4"/>
      <c r="K25" s="4">
        <v>227</v>
      </c>
      <c r="L25" s="4">
        <v>6</v>
      </c>
      <c r="M25" s="4">
        <v>3</v>
      </c>
      <c r="N25" s="4" t="s">
        <v>6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703093.17</v>
      </c>
      <c r="G26" s="4" t="s">
        <v>122</v>
      </c>
      <c r="H26" s="4" t="s">
        <v>123</v>
      </c>
      <c r="I26" s="4"/>
      <c r="J26" s="4"/>
      <c r="K26" s="4">
        <v>228</v>
      </c>
      <c r="L26" s="4">
        <v>7</v>
      </c>
      <c r="M26" s="4">
        <v>3</v>
      </c>
      <c r="N26" s="4" t="s">
        <v>6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124</v>
      </c>
      <c r="H27" s="4" t="s">
        <v>125</v>
      </c>
      <c r="I27" s="4"/>
      <c r="J27" s="4"/>
      <c r="K27" s="4">
        <v>216</v>
      </c>
      <c r="L27" s="4">
        <v>8</v>
      </c>
      <c r="M27" s="4">
        <v>3</v>
      </c>
      <c r="N27" s="4" t="s">
        <v>6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126</v>
      </c>
      <c r="H28" s="4" t="s">
        <v>127</v>
      </c>
      <c r="I28" s="4"/>
      <c r="J28" s="4"/>
      <c r="K28" s="4">
        <v>223</v>
      </c>
      <c r="L28" s="4">
        <v>9</v>
      </c>
      <c r="M28" s="4">
        <v>3</v>
      </c>
      <c r="N28" s="4" t="s">
        <v>6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128</v>
      </c>
      <c r="H29" s="4" t="s">
        <v>129</v>
      </c>
      <c r="I29" s="4"/>
      <c r="J29" s="4"/>
      <c r="K29" s="4">
        <v>229</v>
      </c>
      <c r="L29" s="4">
        <v>10</v>
      </c>
      <c r="M29" s="4">
        <v>3</v>
      </c>
      <c r="N29" s="4" t="s">
        <v>6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4974.72</v>
      </c>
      <c r="G30" s="4" t="s">
        <v>130</v>
      </c>
      <c r="H30" s="4" t="s">
        <v>131</v>
      </c>
      <c r="I30" s="4"/>
      <c r="J30" s="4"/>
      <c r="K30" s="4">
        <v>203</v>
      </c>
      <c r="L30" s="4">
        <v>11</v>
      </c>
      <c r="M30" s="4">
        <v>3</v>
      </c>
      <c r="N30" s="4" t="s">
        <v>6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132</v>
      </c>
      <c r="H31" s="4" t="s">
        <v>133</v>
      </c>
      <c r="I31" s="4"/>
      <c r="J31" s="4"/>
      <c r="K31" s="4">
        <v>231</v>
      </c>
      <c r="L31" s="4">
        <v>12</v>
      </c>
      <c r="M31" s="4">
        <v>3</v>
      </c>
      <c r="N31" s="4" t="s">
        <v>6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1457.51</v>
      </c>
      <c r="G32" s="4" t="s">
        <v>134</v>
      </c>
      <c r="H32" s="4" t="s">
        <v>135</v>
      </c>
      <c r="I32" s="4"/>
      <c r="J32" s="4"/>
      <c r="K32" s="4">
        <v>204</v>
      </c>
      <c r="L32" s="4">
        <v>13</v>
      </c>
      <c r="M32" s="4">
        <v>3</v>
      </c>
      <c r="N32" s="4" t="s">
        <v>6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35076.21</v>
      </c>
      <c r="G33" s="4" t="s">
        <v>136</v>
      </c>
      <c r="H33" s="4" t="s">
        <v>137</v>
      </c>
      <c r="I33" s="4"/>
      <c r="J33" s="4"/>
      <c r="K33" s="4">
        <v>205</v>
      </c>
      <c r="L33" s="4">
        <v>14</v>
      </c>
      <c r="M33" s="4">
        <v>3</v>
      </c>
      <c r="N33" s="4" t="s">
        <v>6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138</v>
      </c>
      <c r="H34" s="4" t="s">
        <v>139</v>
      </c>
      <c r="I34" s="4"/>
      <c r="J34" s="4"/>
      <c r="K34" s="4">
        <v>232</v>
      </c>
      <c r="L34" s="4">
        <v>15</v>
      </c>
      <c r="M34" s="4">
        <v>3</v>
      </c>
      <c r="N34" s="4" t="s">
        <v>6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802344</v>
      </c>
      <c r="G35" s="4" t="s">
        <v>140</v>
      </c>
      <c r="H35" s="4" t="s">
        <v>141</v>
      </c>
      <c r="I35" s="4"/>
      <c r="J35" s="4"/>
      <c r="K35" s="4">
        <v>214</v>
      </c>
      <c r="L35" s="4">
        <v>16</v>
      </c>
      <c r="M35" s="4">
        <v>3</v>
      </c>
      <c r="N35" s="4" t="s">
        <v>6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0</v>
      </c>
      <c r="G36" s="4" t="s">
        <v>142</v>
      </c>
      <c r="H36" s="4" t="s">
        <v>143</v>
      </c>
      <c r="I36" s="4"/>
      <c r="J36" s="4"/>
      <c r="K36" s="4">
        <v>215</v>
      </c>
      <c r="L36" s="4">
        <v>17</v>
      </c>
      <c r="M36" s="4">
        <v>3</v>
      </c>
      <c r="N36" s="4" t="s">
        <v>6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144</v>
      </c>
      <c r="H37" s="4" t="s">
        <v>145</v>
      </c>
      <c r="I37" s="4"/>
      <c r="J37" s="4"/>
      <c r="K37" s="4">
        <v>217</v>
      </c>
      <c r="L37" s="4">
        <v>18</v>
      </c>
      <c r="M37" s="4">
        <v>3</v>
      </c>
      <c r="N37" s="4" t="s">
        <v>6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146</v>
      </c>
      <c r="H38" s="4" t="s">
        <v>147</v>
      </c>
      <c r="I38" s="4"/>
      <c r="J38" s="4"/>
      <c r="K38" s="4">
        <v>230</v>
      </c>
      <c r="L38" s="4">
        <v>19</v>
      </c>
      <c r="M38" s="4">
        <v>3</v>
      </c>
      <c r="N38" s="4" t="s">
        <v>6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148</v>
      </c>
      <c r="H39" s="4" t="s">
        <v>149</v>
      </c>
      <c r="I39" s="4"/>
      <c r="J39" s="4"/>
      <c r="K39" s="4">
        <v>206</v>
      </c>
      <c r="L39" s="4">
        <v>20</v>
      </c>
      <c r="M39" s="4">
        <v>3</v>
      </c>
      <c r="N39" s="4" t="s">
        <v>6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642.25272219999999</v>
      </c>
      <c r="G40" s="4" t="s">
        <v>150</v>
      </c>
      <c r="H40" s="4" t="s">
        <v>151</v>
      </c>
      <c r="I40" s="4"/>
      <c r="J40" s="4"/>
      <c r="K40" s="4">
        <v>207</v>
      </c>
      <c r="L40" s="4">
        <v>21</v>
      </c>
      <c r="M40" s="4">
        <v>3</v>
      </c>
      <c r="N40" s="4" t="s">
        <v>6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17.824902250000001</v>
      </c>
      <c r="G41" s="4" t="s">
        <v>152</v>
      </c>
      <c r="H41" s="4" t="s">
        <v>153</v>
      </c>
      <c r="I41" s="4"/>
      <c r="J41" s="4"/>
      <c r="K41" s="4">
        <v>208</v>
      </c>
      <c r="L41" s="4">
        <v>22</v>
      </c>
      <c r="M41" s="4">
        <v>3</v>
      </c>
      <c r="N41" s="4" t="s">
        <v>6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154</v>
      </c>
      <c r="H42" s="4" t="s">
        <v>155</v>
      </c>
      <c r="I42" s="4"/>
      <c r="J42" s="4"/>
      <c r="K42" s="4">
        <v>209</v>
      </c>
      <c r="L42" s="4">
        <v>23</v>
      </c>
      <c r="M42" s="4">
        <v>3</v>
      </c>
      <c r="N42" s="4" t="s">
        <v>6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36973.85</v>
      </c>
      <c r="G43" s="4" t="s">
        <v>156</v>
      </c>
      <c r="H43" s="4" t="s">
        <v>157</v>
      </c>
      <c r="I43" s="4"/>
      <c r="J43" s="4"/>
      <c r="K43" s="4">
        <v>210</v>
      </c>
      <c r="L43" s="4">
        <v>24</v>
      </c>
      <c r="M43" s="4">
        <v>3</v>
      </c>
      <c r="N43" s="4" t="s">
        <v>6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20043.71</v>
      </c>
      <c r="G44" s="4" t="s">
        <v>158</v>
      </c>
      <c r="H44" s="4" t="s">
        <v>159</v>
      </c>
      <c r="I44" s="4"/>
      <c r="J44" s="4"/>
      <c r="K44" s="4">
        <v>211</v>
      </c>
      <c r="L44" s="4">
        <v>25</v>
      </c>
      <c r="M44" s="4">
        <v>3</v>
      </c>
      <c r="N44" s="4" t="s">
        <v>6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802344</v>
      </c>
      <c r="G45" s="4" t="s">
        <v>160</v>
      </c>
      <c r="H45" s="4" t="s">
        <v>161</v>
      </c>
      <c r="I45" s="4"/>
      <c r="J45" s="4"/>
      <c r="K45" s="4">
        <v>224</v>
      </c>
      <c r="L45" s="4">
        <v>26</v>
      </c>
      <c r="M45" s="4">
        <v>3</v>
      </c>
      <c r="N45" s="4" t="s">
        <v>6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228</v>
      </c>
      <c r="C50" s="3">
        <v>2017</v>
      </c>
      <c r="D50" s="3">
        <v>4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16628881</v>
      </c>
      <c r="O50" s="3">
        <v>1</v>
      </c>
    </row>
    <row r="51" spans="1:34" x14ac:dyDescent="0.2">
      <c r="A51" s="5">
        <v>3</v>
      </c>
      <c r="B51" s="5" t="s">
        <v>229</v>
      </c>
      <c r="C51" s="5">
        <v>6.38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</v>
      </c>
      <c r="L51" s="5">
        <v>1</v>
      </c>
      <c r="M51" s="5">
        <v>6.38</v>
      </c>
      <c r="N51" s="5">
        <v>1</v>
      </c>
      <c r="O51" s="5">
        <v>1</v>
      </c>
      <c r="P51" s="5">
        <v>1</v>
      </c>
      <c r="Q51" s="5">
        <v>1</v>
      </c>
      <c r="R51" s="5">
        <v>1</v>
      </c>
      <c r="S51" s="5" t="s">
        <v>6</v>
      </c>
      <c r="T51" s="5" t="s">
        <v>6</v>
      </c>
      <c r="U51" s="5" t="s">
        <v>6</v>
      </c>
      <c r="V51" s="5" t="s">
        <v>6</v>
      </c>
      <c r="W51" s="5" t="s">
        <v>6</v>
      </c>
      <c r="X51" s="5" t="s">
        <v>6</v>
      </c>
      <c r="Y51" s="5" t="s">
        <v>6</v>
      </c>
      <c r="Z51" s="5" t="s">
        <v>6</v>
      </c>
      <c r="AA51" s="5" t="s">
        <v>6</v>
      </c>
      <c r="AB51" s="5" t="s">
        <v>6</v>
      </c>
      <c r="AC51" s="5" t="s">
        <v>6</v>
      </c>
      <c r="AD51" s="5" t="s">
        <v>6</v>
      </c>
      <c r="AE51" s="5" t="s">
        <v>6</v>
      </c>
      <c r="AF51" s="5" t="s">
        <v>6</v>
      </c>
      <c r="AG51" s="5" t="s">
        <v>6</v>
      </c>
      <c r="AH51" s="5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4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16628881</v>
      </c>
      <c r="C1">
        <v>16628943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231</v>
      </c>
      <c r="J1" t="s">
        <v>6</v>
      </c>
      <c r="K1" t="s">
        <v>232</v>
      </c>
      <c r="L1">
        <v>1191</v>
      </c>
      <c r="N1">
        <v>1013</v>
      </c>
      <c r="O1" t="s">
        <v>233</v>
      </c>
      <c r="P1" t="s">
        <v>233</v>
      </c>
      <c r="Q1">
        <v>1</v>
      </c>
      <c r="W1">
        <v>0</v>
      </c>
      <c r="X1">
        <v>371339561</v>
      </c>
      <c r="Y1">
        <v>188.54</v>
      </c>
      <c r="AA1">
        <v>0</v>
      </c>
      <c r="AB1">
        <v>0</v>
      </c>
      <c r="AC1">
        <v>0</v>
      </c>
      <c r="AD1">
        <v>51.61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6.38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188.54</v>
      </c>
      <c r="AU1" t="s">
        <v>6</v>
      </c>
      <c r="AV1">
        <v>1</v>
      </c>
      <c r="AW1">
        <v>2</v>
      </c>
      <c r="AX1">
        <v>16628947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248.476866</v>
      </c>
      <c r="CY1">
        <f>AD1</f>
        <v>51.61</v>
      </c>
      <c r="CZ1">
        <f>AH1</f>
        <v>8.09</v>
      </c>
      <c r="DA1">
        <f>AL1</f>
        <v>6.38</v>
      </c>
      <c r="DB1">
        <v>0</v>
      </c>
    </row>
    <row r="2" spans="1:106" x14ac:dyDescent="0.2">
      <c r="A2">
        <f>ROW(Source!A24)</f>
        <v>24</v>
      </c>
      <c r="B2">
        <v>16628881</v>
      </c>
      <c r="C2">
        <v>16628943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234</v>
      </c>
      <c r="J2" t="s">
        <v>6</v>
      </c>
      <c r="K2" t="s">
        <v>235</v>
      </c>
      <c r="L2">
        <v>1191</v>
      </c>
      <c r="N2">
        <v>1013</v>
      </c>
      <c r="O2" t="s">
        <v>233</v>
      </c>
      <c r="P2" t="s">
        <v>233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6.38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16628948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10.200546000000001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ROW(Source!A24)</f>
        <v>24</v>
      </c>
      <c r="B3">
        <v>16628881</v>
      </c>
      <c r="C3">
        <v>16628943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236</v>
      </c>
      <c r="J3" t="s">
        <v>237</v>
      </c>
      <c r="K3" t="s">
        <v>238</v>
      </c>
      <c r="L3">
        <v>1368</v>
      </c>
      <c r="N3">
        <v>1011</v>
      </c>
      <c r="O3" t="s">
        <v>239</v>
      </c>
      <c r="P3" t="s">
        <v>239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199.44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6.38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16628949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10.200546000000001</v>
      </c>
      <c r="CY3">
        <f>AB3</f>
        <v>199.44</v>
      </c>
      <c r="CZ3">
        <f>AF3</f>
        <v>31.26</v>
      </c>
      <c r="DA3">
        <f>AJ3</f>
        <v>6.38</v>
      </c>
      <c r="DB3">
        <v>0</v>
      </c>
    </row>
    <row r="4" spans="1:106" x14ac:dyDescent="0.2">
      <c r="A4">
        <f>ROW(Source!A25)</f>
        <v>25</v>
      </c>
      <c r="B4">
        <v>16628881</v>
      </c>
      <c r="C4">
        <v>16628950</v>
      </c>
      <c r="D4">
        <v>15436014</v>
      </c>
      <c r="E4">
        <v>1</v>
      </c>
      <c r="F4">
        <v>1</v>
      </c>
      <c r="G4">
        <v>1</v>
      </c>
      <c r="H4">
        <v>1</v>
      </c>
      <c r="I4" t="s">
        <v>240</v>
      </c>
      <c r="J4" t="s">
        <v>6</v>
      </c>
      <c r="K4" t="s">
        <v>241</v>
      </c>
      <c r="L4">
        <v>1191</v>
      </c>
      <c r="N4">
        <v>1013</v>
      </c>
      <c r="O4" t="s">
        <v>233</v>
      </c>
      <c r="P4" t="s">
        <v>233</v>
      </c>
      <c r="Q4">
        <v>1</v>
      </c>
      <c r="W4">
        <v>0</v>
      </c>
      <c r="X4">
        <v>-784637506</v>
      </c>
      <c r="Y4">
        <v>171.53399999999999</v>
      </c>
      <c r="AA4">
        <v>0</v>
      </c>
      <c r="AB4">
        <v>0</v>
      </c>
      <c r="AC4">
        <v>0</v>
      </c>
      <c r="AD4">
        <v>55.76</v>
      </c>
      <c r="AE4">
        <v>0</v>
      </c>
      <c r="AF4">
        <v>0</v>
      </c>
      <c r="AG4">
        <v>0</v>
      </c>
      <c r="AH4">
        <v>8.74</v>
      </c>
      <c r="AI4">
        <v>1</v>
      </c>
      <c r="AJ4">
        <v>1</v>
      </c>
      <c r="AK4">
        <v>1</v>
      </c>
      <c r="AL4">
        <v>6.38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6</v>
      </c>
      <c r="AT4">
        <v>149.16</v>
      </c>
      <c r="AU4" t="s">
        <v>28</v>
      </c>
      <c r="AV4">
        <v>1</v>
      </c>
      <c r="AW4">
        <v>2</v>
      </c>
      <c r="AX4">
        <v>16628965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226.0646586</v>
      </c>
      <c r="CY4">
        <f>AD4</f>
        <v>55.76</v>
      </c>
      <c r="CZ4">
        <f>AH4</f>
        <v>8.74</v>
      </c>
      <c r="DA4">
        <f>AL4</f>
        <v>6.38</v>
      </c>
      <c r="DB4">
        <v>0</v>
      </c>
    </row>
    <row r="5" spans="1:106" x14ac:dyDescent="0.2">
      <c r="A5">
        <f>ROW(Source!A25)</f>
        <v>25</v>
      </c>
      <c r="B5">
        <v>16628881</v>
      </c>
      <c r="C5">
        <v>16628950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234</v>
      </c>
      <c r="J5" t="s">
        <v>6</v>
      </c>
      <c r="K5" t="s">
        <v>235</v>
      </c>
      <c r="L5">
        <v>1191</v>
      </c>
      <c r="N5">
        <v>1013</v>
      </c>
      <c r="O5" t="s">
        <v>233</v>
      </c>
      <c r="P5" t="s">
        <v>233</v>
      </c>
      <c r="Q5">
        <v>1</v>
      </c>
      <c r="W5">
        <v>0</v>
      </c>
      <c r="X5">
        <v>-1417349443</v>
      </c>
      <c r="Y5">
        <v>4.2300000000000004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6.38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4.2300000000000004</v>
      </c>
      <c r="AU5" t="s">
        <v>6</v>
      </c>
      <c r="AV5">
        <v>2</v>
      </c>
      <c r="AW5">
        <v>2</v>
      </c>
      <c r="AX5">
        <v>16628966</v>
      </c>
      <c r="AY5">
        <v>1</v>
      </c>
      <c r="AZ5">
        <v>2048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5.5747170000000006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ROW(Source!A25)</f>
        <v>25</v>
      </c>
      <c r="B6">
        <v>16628881</v>
      </c>
      <c r="C6">
        <v>16628950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236</v>
      </c>
      <c r="J6" t="s">
        <v>237</v>
      </c>
      <c r="K6" t="s">
        <v>238</v>
      </c>
      <c r="L6">
        <v>1368</v>
      </c>
      <c r="N6">
        <v>1011</v>
      </c>
      <c r="O6" t="s">
        <v>239</v>
      </c>
      <c r="P6" t="s">
        <v>239</v>
      </c>
      <c r="Q6">
        <v>1</v>
      </c>
      <c r="W6">
        <v>0</v>
      </c>
      <c r="X6">
        <v>1188625873</v>
      </c>
      <c r="Y6">
        <v>0.82500000000000007</v>
      </c>
      <c r="AA6">
        <v>0</v>
      </c>
      <c r="AB6">
        <v>199.44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6.38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6</v>
      </c>
      <c r="AT6">
        <v>0.66</v>
      </c>
      <c r="AU6" t="s">
        <v>27</v>
      </c>
      <c r="AV6">
        <v>0</v>
      </c>
      <c r="AW6">
        <v>2</v>
      </c>
      <c r="AX6">
        <v>16628967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1.0872675000000001</v>
      </c>
      <c r="CY6">
        <f>AB6</f>
        <v>199.44</v>
      </c>
      <c r="CZ6">
        <f>AF6</f>
        <v>31.26</v>
      </c>
      <c r="DA6">
        <f>AJ6</f>
        <v>6.38</v>
      </c>
      <c r="DB6">
        <v>0</v>
      </c>
    </row>
    <row r="7" spans="1:106" x14ac:dyDescent="0.2">
      <c r="A7">
        <f>ROW(Source!A25)</f>
        <v>25</v>
      </c>
      <c r="B7">
        <v>16628881</v>
      </c>
      <c r="C7">
        <v>16628950</v>
      </c>
      <c r="D7">
        <v>15249073</v>
      </c>
      <c r="E7">
        <v>1</v>
      </c>
      <c r="F7">
        <v>1</v>
      </c>
      <c r="G7">
        <v>1</v>
      </c>
      <c r="H7">
        <v>2</v>
      </c>
      <c r="I7" t="s">
        <v>242</v>
      </c>
      <c r="J7" t="s">
        <v>243</v>
      </c>
      <c r="K7" t="s">
        <v>244</v>
      </c>
      <c r="L7">
        <v>1368</v>
      </c>
      <c r="N7">
        <v>1011</v>
      </c>
      <c r="O7" t="s">
        <v>239</v>
      </c>
      <c r="P7" t="s">
        <v>239</v>
      </c>
      <c r="Q7">
        <v>1</v>
      </c>
      <c r="W7">
        <v>0</v>
      </c>
      <c r="X7">
        <v>1372534845</v>
      </c>
      <c r="Y7">
        <v>4.4624999999999995</v>
      </c>
      <c r="AA7">
        <v>0</v>
      </c>
      <c r="AB7">
        <v>419.23</v>
      </c>
      <c r="AC7">
        <v>11.6</v>
      </c>
      <c r="AD7">
        <v>0</v>
      </c>
      <c r="AE7">
        <v>0</v>
      </c>
      <c r="AF7">
        <v>65.709999999999994</v>
      </c>
      <c r="AG7">
        <v>11.6</v>
      </c>
      <c r="AH7">
        <v>0</v>
      </c>
      <c r="AI7">
        <v>1</v>
      </c>
      <c r="AJ7">
        <v>6.38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3.57</v>
      </c>
      <c r="AU7" t="s">
        <v>27</v>
      </c>
      <c r="AV7">
        <v>0</v>
      </c>
      <c r="AW7">
        <v>2</v>
      </c>
      <c r="AX7">
        <v>16628968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Y7*Source!I25</f>
        <v>5.8811287499999993</v>
      </c>
      <c r="CY7">
        <f>AB7</f>
        <v>419.23</v>
      </c>
      <c r="CZ7">
        <f>AF7</f>
        <v>65.709999999999994</v>
      </c>
      <c r="DA7">
        <f>AJ7</f>
        <v>6.38</v>
      </c>
      <c r="DB7">
        <v>0</v>
      </c>
    </row>
    <row r="8" spans="1:106" x14ac:dyDescent="0.2">
      <c r="A8">
        <f>ROW(Source!A25)</f>
        <v>25</v>
      </c>
      <c r="B8">
        <v>16628881</v>
      </c>
      <c r="C8">
        <v>16628950</v>
      </c>
      <c r="D8">
        <v>15167551</v>
      </c>
      <c r="E8">
        <v>1</v>
      </c>
      <c r="F8">
        <v>1</v>
      </c>
      <c r="G8">
        <v>1</v>
      </c>
      <c r="H8">
        <v>3</v>
      </c>
      <c r="I8" t="s">
        <v>245</v>
      </c>
      <c r="J8" t="s">
        <v>246</v>
      </c>
      <c r="K8" t="s">
        <v>247</v>
      </c>
      <c r="L8">
        <v>1301</v>
      </c>
      <c r="N8">
        <v>1003</v>
      </c>
      <c r="O8" t="s">
        <v>45</v>
      </c>
      <c r="P8" t="s">
        <v>45</v>
      </c>
      <c r="Q8">
        <v>1</v>
      </c>
      <c r="W8">
        <v>0</v>
      </c>
      <c r="X8">
        <v>751777312</v>
      </c>
      <c r="Y8">
        <v>253</v>
      </c>
      <c r="AA8">
        <v>40.700000000000003</v>
      </c>
      <c r="AB8">
        <v>0</v>
      </c>
      <c r="AC8">
        <v>0</v>
      </c>
      <c r="AD8">
        <v>0</v>
      </c>
      <c r="AE8">
        <v>6.38</v>
      </c>
      <c r="AF8">
        <v>0</v>
      </c>
      <c r="AG8">
        <v>0</v>
      </c>
      <c r="AH8">
        <v>0</v>
      </c>
      <c r="AI8">
        <v>6.38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253</v>
      </c>
      <c r="AU8" t="s">
        <v>6</v>
      </c>
      <c r="AV8">
        <v>0</v>
      </c>
      <c r="AW8">
        <v>2</v>
      </c>
      <c r="AX8">
        <v>16628969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Y8*Source!I25</f>
        <v>333.42869999999999</v>
      </c>
      <c r="CY8">
        <f t="shared" ref="CY8:CY14" si="0">AA8</f>
        <v>40.700000000000003</v>
      </c>
      <c r="CZ8">
        <f t="shared" ref="CZ8:CZ14" si="1">AE8</f>
        <v>6.38</v>
      </c>
      <c r="DA8">
        <f t="shared" ref="DA8:DA14" si="2">AI8</f>
        <v>6.38</v>
      </c>
      <c r="DB8">
        <v>0</v>
      </c>
    </row>
    <row r="9" spans="1:106" x14ac:dyDescent="0.2">
      <c r="A9">
        <f>ROW(Source!A25)</f>
        <v>25</v>
      </c>
      <c r="B9">
        <v>16628881</v>
      </c>
      <c r="C9">
        <v>16628950</v>
      </c>
      <c r="D9">
        <v>15167552</v>
      </c>
      <c r="E9">
        <v>1</v>
      </c>
      <c r="F9">
        <v>1</v>
      </c>
      <c r="G9">
        <v>1</v>
      </c>
      <c r="H9">
        <v>3</v>
      </c>
      <c r="I9" t="s">
        <v>248</v>
      </c>
      <c r="J9" t="s">
        <v>249</v>
      </c>
      <c r="K9" t="s">
        <v>250</v>
      </c>
      <c r="L9">
        <v>1301</v>
      </c>
      <c r="N9">
        <v>1003</v>
      </c>
      <c r="O9" t="s">
        <v>45</v>
      </c>
      <c r="P9" t="s">
        <v>45</v>
      </c>
      <c r="Q9">
        <v>1</v>
      </c>
      <c r="W9">
        <v>0</v>
      </c>
      <c r="X9">
        <v>1744203244</v>
      </c>
      <c r="Y9">
        <v>59</v>
      </c>
      <c r="AA9">
        <v>50.72</v>
      </c>
      <c r="AB9">
        <v>0</v>
      </c>
      <c r="AC9">
        <v>0</v>
      </c>
      <c r="AD9">
        <v>0</v>
      </c>
      <c r="AE9">
        <v>7.95</v>
      </c>
      <c r="AF9">
        <v>0</v>
      </c>
      <c r="AG9">
        <v>0</v>
      </c>
      <c r="AH9">
        <v>0</v>
      </c>
      <c r="AI9">
        <v>6.38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59</v>
      </c>
      <c r="AU9" t="s">
        <v>6</v>
      </c>
      <c r="AV9">
        <v>0</v>
      </c>
      <c r="AW9">
        <v>2</v>
      </c>
      <c r="AX9">
        <v>16628970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Y9*Source!I25</f>
        <v>77.756100000000004</v>
      </c>
      <c r="CY9">
        <f t="shared" si="0"/>
        <v>50.72</v>
      </c>
      <c r="CZ9">
        <f t="shared" si="1"/>
        <v>7.95</v>
      </c>
      <c r="DA9">
        <f t="shared" si="2"/>
        <v>6.38</v>
      </c>
      <c r="DB9">
        <v>0</v>
      </c>
    </row>
    <row r="10" spans="1:106" x14ac:dyDescent="0.2">
      <c r="A10">
        <f>ROW(Source!A25)</f>
        <v>25</v>
      </c>
      <c r="B10">
        <v>16628881</v>
      </c>
      <c r="C10">
        <v>16628950</v>
      </c>
      <c r="D10">
        <v>15167640</v>
      </c>
      <c r="E10">
        <v>1</v>
      </c>
      <c r="F10">
        <v>1</v>
      </c>
      <c r="G10">
        <v>1</v>
      </c>
      <c r="H10">
        <v>3</v>
      </c>
      <c r="I10" t="s">
        <v>251</v>
      </c>
      <c r="J10" t="s">
        <v>252</v>
      </c>
      <c r="K10" t="s">
        <v>253</v>
      </c>
      <c r="L10">
        <v>1302</v>
      </c>
      <c r="N10">
        <v>1003</v>
      </c>
      <c r="O10" t="s">
        <v>86</v>
      </c>
      <c r="P10" t="s">
        <v>86</v>
      </c>
      <c r="Q10">
        <v>10</v>
      </c>
      <c r="W10">
        <v>0</v>
      </c>
      <c r="X10">
        <v>-405326455</v>
      </c>
      <c r="Y10">
        <v>15.9</v>
      </c>
      <c r="AA10">
        <v>408.96</v>
      </c>
      <c r="AB10">
        <v>0</v>
      </c>
      <c r="AC10">
        <v>0</v>
      </c>
      <c r="AD10">
        <v>0</v>
      </c>
      <c r="AE10">
        <v>64.099999999999994</v>
      </c>
      <c r="AF10">
        <v>0</v>
      </c>
      <c r="AG10">
        <v>0</v>
      </c>
      <c r="AH10">
        <v>0</v>
      </c>
      <c r="AI10">
        <v>6.38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15.9</v>
      </c>
      <c r="AU10" t="s">
        <v>6</v>
      </c>
      <c r="AV10">
        <v>0</v>
      </c>
      <c r="AW10">
        <v>2</v>
      </c>
      <c r="AX10">
        <v>16628971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Y10*Source!I25</f>
        <v>20.954610000000002</v>
      </c>
      <c r="CY10">
        <f t="shared" si="0"/>
        <v>408.96</v>
      </c>
      <c r="CZ10">
        <f t="shared" si="1"/>
        <v>64.099999999999994</v>
      </c>
      <c r="DA10">
        <f t="shared" si="2"/>
        <v>6.38</v>
      </c>
      <c r="DB10">
        <v>0</v>
      </c>
    </row>
    <row r="11" spans="1:106" x14ac:dyDescent="0.2">
      <c r="A11">
        <f>ROW(Source!A25)</f>
        <v>25</v>
      </c>
      <c r="B11">
        <v>16628881</v>
      </c>
      <c r="C11">
        <v>16628950</v>
      </c>
      <c r="D11">
        <v>15170065</v>
      </c>
      <c r="E11">
        <v>1</v>
      </c>
      <c r="F11">
        <v>1</v>
      </c>
      <c r="G11">
        <v>1</v>
      </c>
      <c r="H11">
        <v>3</v>
      </c>
      <c r="I11" t="s">
        <v>254</v>
      </c>
      <c r="J11" t="s">
        <v>255</v>
      </c>
      <c r="K11" t="s">
        <v>256</v>
      </c>
      <c r="L11">
        <v>1358</v>
      </c>
      <c r="N11">
        <v>1010</v>
      </c>
      <c r="O11" t="s">
        <v>257</v>
      </c>
      <c r="P11" t="s">
        <v>257</v>
      </c>
      <c r="Q11">
        <v>10</v>
      </c>
      <c r="W11">
        <v>0</v>
      </c>
      <c r="X11">
        <v>-858120743</v>
      </c>
      <c r="Y11">
        <v>41.2</v>
      </c>
      <c r="AA11">
        <v>44.85</v>
      </c>
      <c r="AB11">
        <v>0</v>
      </c>
      <c r="AC11">
        <v>0</v>
      </c>
      <c r="AD11">
        <v>0</v>
      </c>
      <c r="AE11">
        <v>7.03</v>
      </c>
      <c r="AF11">
        <v>0</v>
      </c>
      <c r="AG11">
        <v>0</v>
      </c>
      <c r="AH11">
        <v>0</v>
      </c>
      <c r="AI11">
        <v>6.38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41.2</v>
      </c>
      <c r="AU11" t="s">
        <v>6</v>
      </c>
      <c r="AV11">
        <v>0</v>
      </c>
      <c r="AW11">
        <v>2</v>
      </c>
      <c r="AX11">
        <v>16628972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Y11*Source!I25</f>
        <v>54.297480000000007</v>
      </c>
      <c r="CY11">
        <f t="shared" si="0"/>
        <v>44.85</v>
      </c>
      <c r="CZ11">
        <f t="shared" si="1"/>
        <v>7.03</v>
      </c>
      <c r="DA11">
        <f t="shared" si="2"/>
        <v>6.38</v>
      </c>
      <c r="DB11">
        <v>0</v>
      </c>
    </row>
    <row r="12" spans="1:106" x14ac:dyDescent="0.2">
      <c r="A12">
        <f>ROW(Source!A25)</f>
        <v>25</v>
      </c>
      <c r="B12">
        <v>16628881</v>
      </c>
      <c r="C12">
        <v>16628950</v>
      </c>
      <c r="D12">
        <v>15197780</v>
      </c>
      <c r="E12">
        <v>1</v>
      </c>
      <c r="F12">
        <v>1</v>
      </c>
      <c r="G12">
        <v>1</v>
      </c>
      <c r="H12">
        <v>3</v>
      </c>
      <c r="I12" t="s">
        <v>258</v>
      </c>
      <c r="J12" t="s">
        <v>259</v>
      </c>
      <c r="K12" t="s">
        <v>260</v>
      </c>
      <c r="L12">
        <v>1355</v>
      </c>
      <c r="N12">
        <v>1010</v>
      </c>
      <c r="O12" t="s">
        <v>261</v>
      </c>
      <c r="P12" t="s">
        <v>261</v>
      </c>
      <c r="Q12">
        <v>100</v>
      </c>
      <c r="W12">
        <v>0</v>
      </c>
      <c r="X12">
        <v>1709713925</v>
      </c>
      <c r="Y12">
        <v>8</v>
      </c>
      <c r="AA12">
        <v>319</v>
      </c>
      <c r="AB12">
        <v>0</v>
      </c>
      <c r="AC12">
        <v>0</v>
      </c>
      <c r="AD12">
        <v>0</v>
      </c>
      <c r="AE12">
        <v>50</v>
      </c>
      <c r="AF12">
        <v>0</v>
      </c>
      <c r="AG12">
        <v>0</v>
      </c>
      <c r="AH12">
        <v>0</v>
      </c>
      <c r="AI12">
        <v>6.38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8</v>
      </c>
      <c r="AU12" t="s">
        <v>6</v>
      </c>
      <c r="AV12">
        <v>0</v>
      </c>
      <c r="AW12">
        <v>2</v>
      </c>
      <c r="AX12">
        <v>16628974</v>
      </c>
      <c r="AY12">
        <v>1</v>
      </c>
      <c r="AZ12">
        <v>0</v>
      </c>
      <c r="BA12">
        <v>13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Y12*Source!I25</f>
        <v>10.543200000000001</v>
      </c>
      <c r="CY12">
        <f t="shared" si="0"/>
        <v>319</v>
      </c>
      <c r="CZ12">
        <f t="shared" si="1"/>
        <v>50</v>
      </c>
      <c r="DA12">
        <f t="shared" si="2"/>
        <v>6.38</v>
      </c>
      <c r="DB12">
        <v>0</v>
      </c>
    </row>
    <row r="13" spans="1:106" x14ac:dyDescent="0.2">
      <c r="A13">
        <f>ROW(Source!A25)</f>
        <v>25</v>
      </c>
      <c r="B13">
        <v>16628881</v>
      </c>
      <c r="C13">
        <v>16628950</v>
      </c>
      <c r="D13">
        <v>15204239</v>
      </c>
      <c r="E13">
        <v>1</v>
      </c>
      <c r="F13">
        <v>1</v>
      </c>
      <c r="G13">
        <v>1</v>
      </c>
      <c r="H13">
        <v>3</v>
      </c>
      <c r="I13" t="s">
        <v>262</v>
      </c>
      <c r="J13" t="s">
        <v>263</v>
      </c>
      <c r="K13" t="s">
        <v>264</v>
      </c>
      <c r="L13">
        <v>1354</v>
      </c>
      <c r="N13">
        <v>1010</v>
      </c>
      <c r="O13" t="s">
        <v>265</v>
      </c>
      <c r="P13" t="s">
        <v>265</v>
      </c>
      <c r="Q13">
        <v>1</v>
      </c>
      <c r="W13">
        <v>0</v>
      </c>
      <c r="X13">
        <v>-1018551266</v>
      </c>
      <c r="Y13">
        <v>71</v>
      </c>
      <c r="AA13">
        <v>427.46</v>
      </c>
      <c r="AB13">
        <v>0</v>
      </c>
      <c r="AC13">
        <v>0</v>
      </c>
      <c r="AD13">
        <v>0</v>
      </c>
      <c r="AE13">
        <v>67</v>
      </c>
      <c r="AF13">
        <v>0</v>
      </c>
      <c r="AG13">
        <v>0</v>
      </c>
      <c r="AH13">
        <v>0</v>
      </c>
      <c r="AI13">
        <v>6.38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71</v>
      </c>
      <c r="AU13" t="s">
        <v>6</v>
      </c>
      <c r="AV13">
        <v>0</v>
      </c>
      <c r="AW13">
        <v>2</v>
      </c>
      <c r="AX13">
        <v>16628975</v>
      </c>
      <c r="AY13">
        <v>1</v>
      </c>
      <c r="AZ13">
        <v>0</v>
      </c>
      <c r="BA13">
        <v>14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Y13*Source!I25</f>
        <v>93.570900000000009</v>
      </c>
      <c r="CY13">
        <f t="shared" si="0"/>
        <v>427.46</v>
      </c>
      <c r="CZ13">
        <f t="shared" si="1"/>
        <v>67</v>
      </c>
      <c r="DA13">
        <f t="shared" si="2"/>
        <v>6.38</v>
      </c>
      <c r="DB13">
        <v>0</v>
      </c>
    </row>
    <row r="14" spans="1:106" x14ac:dyDescent="0.2">
      <c r="A14">
        <f>ROW(Source!A25)</f>
        <v>25</v>
      </c>
      <c r="B14">
        <v>16628881</v>
      </c>
      <c r="C14">
        <v>16628950</v>
      </c>
      <c r="D14">
        <v>0</v>
      </c>
      <c r="E14">
        <v>0</v>
      </c>
      <c r="F14">
        <v>1</v>
      </c>
      <c r="G14">
        <v>1</v>
      </c>
      <c r="H14">
        <v>3</v>
      </c>
      <c r="I14" t="s">
        <v>33</v>
      </c>
      <c r="J14" t="s">
        <v>6</v>
      </c>
      <c r="K14" t="s">
        <v>34</v>
      </c>
      <c r="L14">
        <v>1327</v>
      </c>
      <c r="N14">
        <v>1005</v>
      </c>
      <c r="O14" t="s">
        <v>35</v>
      </c>
      <c r="P14" t="s">
        <v>35</v>
      </c>
      <c r="Q14">
        <v>1</v>
      </c>
      <c r="W14">
        <v>0</v>
      </c>
      <c r="X14">
        <v>1285733230</v>
      </c>
      <c r="Y14">
        <v>100</v>
      </c>
      <c r="AA14">
        <v>3316.13</v>
      </c>
      <c r="AB14">
        <v>0</v>
      </c>
      <c r="AC14">
        <v>0</v>
      </c>
      <c r="AD14">
        <v>0</v>
      </c>
      <c r="AE14">
        <v>519.77</v>
      </c>
      <c r="AF14">
        <v>0</v>
      </c>
      <c r="AG14">
        <v>0</v>
      </c>
      <c r="AH14">
        <v>0</v>
      </c>
      <c r="AI14">
        <v>6.38</v>
      </c>
      <c r="AJ14">
        <v>1</v>
      </c>
      <c r="AK14">
        <v>1</v>
      </c>
      <c r="AL14">
        <v>1</v>
      </c>
      <c r="AN14">
        <v>0</v>
      </c>
      <c r="AO14">
        <v>0</v>
      </c>
      <c r="AP14">
        <v>0</v>
      </c>
      <c r="AQ14">
        <v>0</v>
      </c>
      <c r="AR14">
        <v>0</v>
      </c>
      <c r="AS14" t="s">
        <v>6</v>
      </c>
      <c r="AT14">
        <v>100</v>
      </c>
      <c r="AU14" t="s">
        <v>6</v>
      </c>
      <c r="AV14">
        <v>0</v>
      </c>
      <c r="AW14">
        <v>1</v>
      </c>
      <c r="AX14">
        <v>-1</v>
      </c>
      <c r="AY14">
        <v>0</v>
      </c>
      <c r="AZ14">
        <v>0</v>
      </c>
      <c r="BA14" t="s">
        <v>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Y14*Source!I25</f>
        <v>131.79000000000002</v>
      </c>
      <c r="CY14">
        <f t="shared" si="0"/>
        <v>3316.13</v>
      </c>
      <c r="CZ14">
        <f t="shared" si="1"/>
        <v>519.77</v>
      </c>
      <c r="DA14">
        <f t="shared" si="2"/>
        <v>6.38</v>
      </c>
      <c r="DB14">
        <v>0</v>
      </c>
    </row>
    <row r="15" spans="1:106" x14ac:dyDescent="0.2">
      <c r="A15">
        <f>ROW(Source!A27)</f>
        <v>27</v>
      </c>
      <c r="B15">
        <v>16628881</v>
      </c>
      <c r="C15">
        <v>16629006</v>
      </c>
      <c r="D15">
        <v>15430767</v>
      </c>
      <c r="E15">
        <v>1</v>
      </c>
      <c r="F15">
        <v>1</v>
      </c>
      <c r="G15">
        <v>1</v>
      </c>
      <c r="H15">
        <v>1</v>
      </c>
      <c r="I15" t="s">
        <v>266</v>
      </c>
      <c r="J15" t="s">
        <v>6</v>
      </c>
      <c r="K15" t="s">
        <v>267</v>
      </c>
      <c r="L15">
        <v>1191</v>
      </c>
      <c r="N15">
        <v>1013</v>
      </c>
      <c r="O15" t="s">
        <v>233</v>
      </c>
      <c r="P15" t="s">
        <v>233</v>
      </c>
      <c r="Q15">
        <v>1</v>
      </c>
      <c r="W15">
        <v>0</v>
      </c>
      <c r="X15">
        <v>-400197608</v>
      </c>
      <c r="Y15">
        <v>129.66249999999999</v>
      </c>
      <c r="AA15">
        <v>0</v>
      </c>
      <c r="AB15">
        <v>0</v>
      </c>
      <c r="AC15">
        <v>0</v>
      </c>
      <c r="AD15">
        <v>54.42</v>
      </c>
      <c r="AE15">
        <v>0</v>
      </c>
      <c r="AF15">
        <v>0</v>
      </c>
      <c r="AG15">
        <v>0</v>
      </c>
      <c r="AH15">
        <v>8.5299999999999994</v>
      </c>
      <c r="AI15">
        <v>1</v>
      </c>
      <c r="AJ15">
        <v>1</v>
      </c>
      <c r="AK15">
        <v>1</v>
      </c>
      <c r="AL15">
        <v>6.38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112.75</v>
      </c>
      <c r="AU15" t="s">
        <v>28</v>
      </c>
      <c r="AV15">
        <v>1</v>
      </c>
      <c r="AW15">
        <v>2</v>
      </c>
      <c r="AX15">
        <v>16629015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Y15*Source!I27</f>
        <v>15.507634999999999</v>
      </c>
      <c r="CY15">
        <f>AD15</f>
        <v>54.42</v>
      </c>
      <c r="CZ15">
        <f>AH15</f>
        <v>8.5299999999999994</v>
      </c>
      <c r="DA15">
        <f>AL15</f>
        <v>6.38</v>
      </c>
      <c r="DB15">
        <v>0</v>
      </c>
    </row>
    <row r="16" spans="1:106" x14ac:dyDescent="0.2">
      <c r="A16">
        <f>ROW(Source!A27)</f>
        <v>27</v>
      </c>
      <c r="B16">
        <v>16628881</v>
      </c>
      <c r="C16">
        <v>16629006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234</v>
      </c>
      <c r="J16" t="s">
        <v>6</v>
      </c>
      <c r="K16" t="s">
        <v>235</v>
      </c>
      <c r="L16">
        <v>1191</v>
      </c>
      <c r="N16">
        <v>1013</v>
      </c>
      <c r="O16" t="s">
        <v>233</v>
      </c>
      <c r="P16" t="s">
        <v>233</v>
      </c>
      <c r="Q16">
        <v>1</v>
      </c>
      <c r="W16">
        <v>0</v>
      </c>
      <c r="X16">
        <v>-1417349443</v>
      </c>
      <c r="Y16">
        <v>0.27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6.38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0.27</v>
      </c>
      <c r="AU16" t="s">
        <v>6</v>
      </c>
      <c r="AV16">
        <v>2</v>
      </c>
      <c r="AW16">
        <v>2</v>
      </c>
      <c r="AX16">
        <v>16629016</v>
      </c>
      <c r="AY16">
        <v>1</v>
      </c>
      <c r="AZ16">
        <v>2048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Y16*Source!I27</f>
        <v>3.2292000000000001E-2</v>
      </c>
      <c r="CY16">
        <f>AD16</f>
        <v>0</v>
      </c>
      <c r="CZ16">
        <f>AH16</f>
        <v>0</v>
      </c>
      <c r="DA16">
        <f>AL16</f>
        <v>1</v>
      </c>
      <c r="DB16">
        <v>0</v>
      </c>
    </row>
    <row r="17" spans="1:106" x14ac:dyDescent="0.2">
      <c r="A17">
        <f>ROW(Source!A27)</f>
        <v>27</v>
      </c>
      <c r="B17">
        <v>16628881</v>
      </c>
      <c r="C17">
        <v>16629006</v>
      </c>
      <c r="D17">
        <v>15247578</v>
      </c>
      <c r="E17">
        <v>1</v>
      </c>
      <c r="F17">
        <v>1</v>
      </c>
      <c r="G17">
        <v>1</v>
      </c>
      <c r="H17">
        <v>2</v>
      </c>
      <c r="I17" t="s">
        <v>268</v>
      </c>
      <c r="J17" t="s">
        <v>269</v>
      </c>
      <c r="K17" t="s">
        <v>270</v>
      </c>
      <c r="L17">
        <v>1368</v>
      </c>
      <c r="N17">
        <v>1011</v>
      </c>
      <c r="O17" t="s">
        <v>239</v>
      </c>
      <c r="P17" t="s">
        <v>239</v>
      </c>
      <c r="Q17">
        <v>1</v>
      </c>
      <c r="W17">
        <v>0</v>
      </c>
      <c r="X17">
        <v>-1460065968</v>
      </c>
      <c r="Y17">
        <v>0.25</v>
      </c>
      <c r="AA17">
        <v>0</v>
      </c>
      <c r="AB17">
        <v>551.23</v>
      </c>
      <c r="AC17">
        <v>13.5</v>
      </c>
      <c r="AD17">
        <v>0</v>
      </c>
      <c r="AE17">
        <v>0</v>
      </c>
      <c r="AF17">
        <v>86.4</v>
      </c>
      <c r="AG17">
        <v>13.5</v>
      </c>
      <c r="AH17">
        <v>0</v>
      </c>
      <c r="AI17">
        <v>1</v>
      </c>
      <c r="AJ17">
        <v>6.38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0.2</v>
      </c>
      <c r="AU17" t="s">
        <v>27</v>
      </c>
      <c r="AV17">
        <v>0</v>
      </c>
      <c r="AW17">
        <v>2</v>
      </c>
      <c r="AX17">
        <v>16629017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Y17*Source!I27</f>
        <v>2.9899999999999999E-2</v>
      </c>
      <c r="CY17">
        <f>AB17</f>
        <v>551.23</v>
      </c>
      <c r="CZ17">
        <f>AF17</f>
        <v>86.4</v>
      </c>
      <c r="DA17">
        <f>AJ17</f>
        <v>6.38</v>
      </c>
      <c r="DB17">
        <v>0</v>
      </c>
    </row>
    <row r="18" spans="1:106" x14ac:dyDescent="0.2">
      <c r="A18">
        <f>ROW(Source!A27)</f>
        <v>27</v>
      </c>
      <c r="B18">
        <v>16628881</v>
      </c>
      <c r="C18">
        <v>16629006</v>
      </c>
      <c r="D18">
        <v>15249073</v>
      </c>
      <c r="E18">
        <v>1</v>
      </c>
      <c r="F18">
        <v>1</v>
      </c>
      <c r="G18">
        <v>1</v>
      </c>
      <c r="H18">
        <v>2</v>
      </c>
      <c r="I18" t="s">
        <v>242</v>
      </c>
      <c r="J18" t="s">
        <v>243</v>
      </c>
      <c r="K18" t="s">
        <v>244</v>
      </c>
      <c r="L18">
        <v>1368</v>
      </c>
      <c r="N18">
        <v>1011</v>
      </c>
      <c r="O18" t="s">
        <v>239</v>
      </c>
      <c r="P18" t="s">
        <v>239</v>
      </c>
      <c r="Q18">
        <v>1</v>
      </c>
      <c r="W18">
        <v>0</v>
      </c>
      <c r="X18">
        <v>1372534845</v>
      </c>
      <c r="Y18">
        <v>8.7500000000000008E-2</v>
      </c>
      <c r="AA18">
        <v>0</v>
      </c>
      <c r="AB18">
        <v>419.23</v>
      </c>
      <c r="AC18">
        <v>11.6</v>
      </c>
      <c r="AD18">
        <v>0</v>
      </c>
      <c r="AE18">
        <v>0</v>
      </c>
      <c r="AF18">
        <v>65.709999999999994</v>
      </c>
      <c r="AG18">
        <v>11.6</v>
      </c>
      <c r="AH18">
        <v>0</v>
      </c>
      <c r="AI18">
        <v>1</v>
      </c>
      <c r="AJ18">
        <v>6.38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7.0000000000000007E-2</v>
      </c>
      <c r="AU18" t="s">
        <v>27</v>
      </c>
      <c r="AV18">
        <v>0</v>
      </c>
      <c r="AW18">
        <v>2</v>
      </c>
      <c r="AX18">
        <v>16629018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Y18*Source!I27</f>
        <v>1.0465E-2</v>
      </c>
      <c r="CY18">
        <f>AB18</f>
        <v>419.23</v>
      </c>
      <c r="CZ18">
        <f>AF18</f>
        <v>65.709999999999994</v>
      </c>
      <c r="DA18">
        <f>AJ18</f>
        <v>6.38</v>
      </c>
      <c r="DB18">
        <v>0</v>
      </c>
    </row>
    <row r="19" spans="1:106" x14ac:dyDescent="0.2">
      <c r="A19">
        <f>ROW(Source!A27)</f>
        <v>27</v>
      </c>
      <c r="B19">
        <v>16628881</v>
      </c>
      <c r="C19">
        <v>16629006</v>
      </c>
      <c r="D19">
        <v>15170059</v>
      </c>
      <c r="E19">
        <v>1</v>
      </c>
      <c r="F19">
        <v>1</v>
      </c>
      <c r="G19">
        <v>1</v>
      </c>
      <c r="H19">
        <v>3</v>
      </c>
      <c r="I19" t="s">
        <v>271</v>
      </c>
      <c r="J19" t="s">
        <v>272</v>
      </c>
      <c r="K19" t="s">
        <v>273</v>
      </c>
      <c r="L19">
        <v>1348</v>
      </c>
      <c r="N19">
        <v>1009</v>
      </c>
      <c r="O19" t="s">
        <v>50</v>
      </c>
      <c r="P19" t="s">
        <v>50</v>
      </c>
      <c r="Q19">
        <v>1000</v>
      </c>
      <c r="W19">
        <v>0</v>
      </c>
      <c r="X19">
        <v>-1818623805</v>
      </c>
      <c r="Y19">
        <v>4.0000000000000001E-3</v>
      </c>
      <c r="AA19">
        <v>54070.5</v>
      </c>
      <c r="AB19">
        <v>0</v>
      </c>
      <c r="AC19">
        <v>0</v>
      </c>
      <c r="AD19">
        <v>0</v>
      </c>
      <c r="AE19">
        <v>8475</v>
      </c>
      <c r="AF19">
        <v>0</v>
      </c>
      <c r="AG19">
        <v>0</v>
      </c>
      <c r="AH19">
        <v>0</v>
      </c>
      <c r="AI19">
        <v>6.38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4.0000000000000001E-3</v>
      </c>
      <c r="AU19" t="s">
        <v>6</v>
      </c>
      <c r="AV19">
        <v>0</v>
      </c>
      <c r="AW19">
        <v>2</v>
      </c>
      <c r="AX19">
        <v>16629019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Y19*Source!I27</f>
        <v>4.7840000000000003E-4</v>
      </c>
      <c r="CY19">
        <f>AA19</f>
        <v>54070.5</v>
      </c>
      <c r="CZ19">
        <f>AE19</f>
        <v>8475</v>
      </c>
      <c r="DA19">
        <f>AI19</f>
        <v>6.38</v>
      </c>
      <c r="DB19">
        <v>0</v>
      </c>
    </row>
    <row r="20" spans="1:106" x14ac:dyDescent="0.2">
      <c r="A20">
        <f>ROW(Source!A27)</f>
        <v>27</v>
      </c>
      <c r="B20">
        <v>16628881</v>
      </c>
      <c r="C20">
        <v>16629006</v>
      </c>
      <c r="D20">
        <v>15191140</v>
      </c>
      <c r="E20">
        <v>1</v>
      </c>
      <c r="F20">
        <v>1</v>
      </c>
      <c r="G20">
        <v>1</v>
      </c>
      <c r="H20">
        <v>3</v>
      </c>
      <c r="I20" t="s">
        <v>274</v>
      </c>
      <c r="J20" t="s">
        <v>275</v>
      </c>
      <c r="K20" t="s">
        <v>276</v>
      </c>
      <c r="L20">
        <v>1348</v>
      </c>
      <c r="N20">
        <v>1009</v>
      </c>
      <c r="O20" t="s">
        <v>50</v>
      </c>
      <c r="P20" t="s">
        <v>50</v>
      </c>
      <c r="Q20">
        <v>1000</v>
      </c>
      <c r="W20">
        <v>0</v>
      </c>
      <c r="X20">
        <v>-177380457</v>
      </c>
      <c r="Y20">
        <v>1.2E-2</v>
      </c>
      <c r="AA20">
        <v>52252.2</v>
      </c>
      <c r="AB20">
        <v>0</v>
      </c>
      <c r="AC20">
        <v>0</v>
      </c>
      <c r="AD20">
        <v>0</v>
      </c>
      <c r="AE20">
        <v>8190</v>
      </c>
      <c r="AF20">
        <v>0</v>
      </c>
      <c r="AG20">
        <v>0</v>
      </c>
      <c r="AH20">
        <v>0</v>
      </c>
      <c r="AI20">
        <v>6.38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1.2E-2</v>
      </c>
      <c r="AU20" t="s">
        <v>6</v>
      </c>
      <c r="AV20">
        <v>0</v>
      </c>
      <c r="AW20">
        <v>2</v>
      </c>
      <c r="AX20">
        <v>16629020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Y20*Source!I27</f>
        <v>1.4352E-3</v>
      </c>
      <c r="CY20">
        <f>AA20</f>
        <v>52252.2</v>
      </c>
      <c r="CZ20">
        <f>AE20</f>
        <v>8190</v>
      </c>
      <c r="DA20">
        <f>AI20</f>
        <v>6.38</v>
      </c>
      <c r="DB20">
        <v>0</v>
      </c>
    </row>
    <row r="21" spans="1:106" x14ac:dyDescent="0.2">
      <c r="A21">
        <f>ROW(Source!A27)</f>
        <v>27</v>
      </c>
      <c r="B21">
        <v>16628881</v>
      </c>
      <c r="C21">
        <v>16629006</v>
      </c>
      <c r="D21">
        <v>15191387</v>
      </c>
      <c r="E21">
        <v>1</v>
      </c>
      <c r="F21">
        <v>1</v>
      </c>
      <c r="G21">
        <v>1</v>
      </c>
      <c r="H21">
        <v>3</v>
      </c>
      <c r="I21" t="s">
        <v>48</v>
      </c>
      <c r="J21" t="s">
        <v>51</v>
      </c>
      <c r="K21" t="s">
        <v>49</v>
      </c>
      <c r="L21">
        <v>1348</v>
      </c>
      <c r="N21">
        <v>1009</v>
      </c>
      <c r="O21" t="s">
        <v>50</v>
      </c>
      <c r="P21" t="s">
        <v>50</v>
      </c>
      <c r="Q21">
        <v>1000</v>
      </c>
      <c r="W21">
        <v>1</v>
      </c>
      <c r="X21">
        <v>-272931147</v>
      </c>
      <c r="Y21">
        <v>-0.78200000000000003</v>
      </c>
      <c r="AA21">
        <v>71456</v>
      </c>
      <c r="AB21">
        <v>0</v>
      </c>
      <c r="AC21">
        <v>0</v>
      </c>
      <c r="AD21">
        <v>0</v>
      </c>
      <c r="AE21">
        <v>11200</v>
      </c>
      <c r="AF21">
        <v>0</v>
      </c>
      <c r="AG21">
        <v>0</v>
      </c>
      <c r="AH21">
        <v>0</v>
      </c>
      <c r="AI21">
        <v>6.38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-0.78200000000000003</v>
      </c>
      <c r="AU21" t="s">
        <v>6</v>
      </c>
      <c r="AV21">
        <v>0</v>
      </c>
      <c r="AW21">
        <v>2</v>
      </c>
      <c r="AX21">
        <v>16629021</v>
      </c>
      <c r="AY21">
        <v>1</v>
      </c>
      <c r="AZ21">
        <v>6144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Y21*Source!I27</f>
        <v>-9.3527200000000005E-2</v>
      </c>
      <c r="CY21">
        <f>AA21</f>
        <v>71456</v>
      </c>
      <c r="CZ21">
        <f>AE21</f>
        <v>11200</v>
      </c>
      <c r="DA21">
        <f>AI21</f>
        <v>6.38</v>
      </c>
      <c r="DB21">
        <v>0</v>
      </c>
    </row>
    <row r="22" spans="1:106" x14ac:dyDescent="0.2">
      <c r="A22">
        <f>ROW(Source!A27)</f>
        <v>27</v>
      </c>
      <c r="B22">
        <v>16628881</v>
      </c>
      <c r="C22">
        <v>16629006</v>
      </c>
      <c r="D22">
        <v>0</v>
      </c>
      <c r="E22">
        <v>0</v>
      </c>
      <c r="F22">
        <v>1</v>
      </c>
      <c r="G22">
        <v>1</v>
      </c>
      <c r="H22">
        <v>3</v>
      </c>
      <c r="I22" t="s">
        <v>33</v>
      </c>
      <c r="J22" t="s">
        <v>6</v>
      </c>
      <c r="K22" t="s">
        <v>44</v>
      </c>
      <c r="L22">
        <v>1301</v>
      </c>
      <c r="N22">
        <v>1003</v>
      </c>
      <c r="O22" t="s">
        <v>45</v>
      </c>
      <c r="P22" t="s">
        <v>45</v>
      </c>
      <c r="Q22">
        <v>1</v>
      </c>
      <c r="W22">
        <v>0</v>
      </c>
      <c r="X22">
        <v>-589723811</v>
      </c>
      <c r="Y22">
        <v>500</v>
      </c>
      <c r="AA22">
        <v>126.58</v>
      </c>
      <c r="AB22">
        <v>0</v>
      </c>
      <c r="AC22">
        <v>0</v>
      </c>
      <c r="AD22">
        <v>0</v>
      </c>
      <c r="AE22">
        <v>19.84</v>
      </c>
      <c r="AF22">
        <v>0</v>
      </c>
      <c r="AG22">
        <v>0</v>
      </c>
      <c r="AH22">
        <v>0</v>
      </c>
      <c r="AI22">
        <v>6.38</v>
      </c>
      <c r="AJ22">
        <v>1</v>
      </c>
      <c r="AK22">
        <v>1</v>
      </c>
      <c r="AL22">
        <v>1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6</v>
      </c>
      <c r="AT22">
        <v>500</v>
      </c>
      <c r="AU22" t="s">
        <v>6</v>
      </c>
      <c r="AV22">
        <v>0</v>
      </c>
      <c r="AW22">
        <v>1</v>
      </c>
      <c r="AX22">
        <v>-1</v>
      </c>
      <c r="AY22">
        <v>0</v>
      </c>
      <c r="AZ22">
        <v>0</v>
      </c>
      <c r="BA22" t="s">
        <v>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Y22*Source!I27</f>
        <v>59.8</v>
      </c>
      <c r="CY22">
        <f>AA22</f>
        <v>126.58</v>
      </c>
      <c r="CZ22">
        <f>AE22</f>
        <v>19.84</v>
      </c>
      <c r="DA22">
        <f>AI22</f>
        <v>6.38</v>
      </c>
      <c r="DB22">
        <v>0</v>
      </c>
    </row>
    <row r="23" spans="1:106" x14ac:dyDescent="0.2">
      <c r="A23">
        <f>ROW(Source!A30)</f>
        <v>30</v>
      </c>
      <c r="B23">
        <v>16628881</v>
      </c>
      <c r="C23">
        <v>16629024</v>
      </c>
      <c r="D23">
        <v>15438286</v>
      </c>
      <c r="E23">
        <v>1</v>
      </c>
      <c r="F23">
        <v>1</v>
      </c>
      <c r="G23">
        <v>1</v>
      </c>
      <c r="H23">
        <v>1</v>
      </c>
      <c r="I23" t="s">
        <v>277</v>
      </c>
      <c r="J23" t="s">
        <v>6</v>
      </c>
      <c r="K23" t="s">
        <v>278</v>
      </c>
      <c r="L23">
        <v>1191</v>
      </c>
      <c r="N23">
        <v>1013</v>
      </c>
      <c r="O23" t="s">
        <v>233</v>
      </c>
      <c r="P23" t="s">
        <v>233</v>
      </c>
      <c r="Q23">
        <v>1</v>
      </c>
      <c r="W23">
        <v>0</v>
      </c>
      <c r="X23">
        <v>-1027537862</v>
      </c>
      <c r="Y23">
        <v>191.44049999999999</v>
      </c>
      <c r="AA23">
        <v>0</v>
      </c>
      <c r="AB23">
        <v>0</v>
      </c>
      <c r="AC23">
        <v>0</v>
      </c>
      <c r="AD23">
        <v>58.57</v>
      </c>
      <c r="AE23">
        <v>0</v>
      </c>
      <c r="AF23">
        <v>0</v>
      </c>
      <c r="AG23">
        <v>0</v>
      </c>
      <c r="AH23">
        <v>9.18</v>
      </c>
      <c r="AI23">
        <v>1</v>
      </c>
      <c r="AJ23">
        <v>1</v>
      </c>
      <c r="AK23">
        <v>1</v>
      </c>
      <c r="AL23">
        <v>6.38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</v>
      </c>
      <c r="AT23">
        <v>166.47</v>
      </c>
      <c r="AU23" t="s">
        <v>28</v>
      </c>
      <c r="AV23">
        <v>1</v>
      </c>
      <c r="AW23">
        <v>2</v>
      </c>
      <c r="AX23">
        <v>16629036</v>
      </c>
      <c r="AY23">
        <v>1</v>
      </c>
      <c r="AZ23">
        <v>0</v>
      </c>
      <c r="BA23">
        <v>22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Y23*Source!I30</f>
        <v>125.0489346</v>
      </c>
      <c r="CY23">
        <f>AD23</f>
        <v>58.57</v>
      </c>
      <c r="CZ23">
        <f>AH23</f>
        <v>9.18</v>
      </c>
      <c r="DA23">
        <f>AL23</f>
        <v>6.38</v>
      </c>
      <c r="DB23">
        <v>0</v>
      </c>
    </row>
    <row r="24" spans="1:106" x14ac:dyDescent="0.2">
      <c r="A24">
        <f>ROW(Source!A30)</f>
        <v>30</v>
      </c>
      <c r="B24">
        <v>16628881</v>
      </c>
      <c r="C24">
        <v>16629024</v>
      </c>
      <c r="D24">
        <v>15430395</v>
      </c>
      <c r="E24">
        <v>1</v>
      </c>
      <c r="F24">
        <v>1</v>
      </c>
      <c r="G24">
        <v>1</v>
      </c>
      <c r="H24">
        <v>1</v>
      </c>
      <c r="I24" t="s">
        <v>234</v>
      </c>
      <c r="J24" t="s">
        <v>6</v>
      </c>
      <c r="K24" t="s">
        <v>235</v>
      </c>
      <c r="L24">
        <v>1191</v>
      </c>
      <c r="N24">
        <v>1013</v>
      </c>
      <c r="O24" t="s">
        <v>233</v>
      </c>
      <c r="P24" t="s">
        <v>233</v>
      </c>
      <c r="Q24">
        <v>1</v>
      </c>
      <c r="W24">
        <v>0</v>
      </c>
      <c r="X24">
        <v>-1417349443</v>
      </c>
      <c r="Y24">
        <v>0.57999999999999996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6.38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0.57999999999999996</v>
      </c>
      <c r="AU24" t="s">
        <v>6</v>
      </c>
      <c r="AV24">
        <v>2</v>
      </c>
      <c r="AW24">
        <v>2</v>
      </c>
      <c r="AX24">
        <v>16629037</v>
      </c>
      <c r="AY24">
        <v>1</v>
      </c>
      <c r="AZ24">
        <v>2048</v>
      </c>
      <c r="BA24">
        <v>23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Y24*Source!I30</f>
        <v>0.37885599999999997</v>
      </c>
      <c r="CY24">
        <f>AD24</f>
        <v>0</v>
      </c>
      <c r="CZ24">
        <f>AH24</f>
        <v>0</v>
      </c>
      <c r="DA24">
        <f>AL24</f>
        <v>1</v>
      </c>
      <c r="DB24">
        <v>0</v>
      </c>
    </row>
    <row r="25" spans="1:106" x14ac:dyDescent="0.2">
      <c r="A25">
        <f>ROW(Source!A30)</f>
        <v>30</v>
      </c>
      <c r="B25">
        <v>16628881</v>
      </c>
      <c r="C25">
        <v>16629024</v>
      </c>
      <c r="D25">
        <v>15247974</v>
      </c>
      <c r="E25">
        <v>1</v>
      </c>
      <c r="F25">
        <v>1</v>
      </c>
      <c r="G25">
        <v>1</v>
      </c>
      <c r="H25">
        <v>2</v>
      </c>
      <c r="I25" t="s">
        <v>236</v>
      </c>
      <c r="J25" t="s">
        <v>237</v>
      </c>
      <c r="K25" t="s">
        <v>238</v>
      </c>
      <c r="L25">
        <v>1368</v>
      </c>
      <c r="N25">
        <v>1011</v>
      </c>
      <c r="O25" t="s">
        <v>239</v>
      </c>
      <c r="P25" t="s">
        <v>239</v>
      </c>
      <c r="Q25">
        <v>1</v>
      </c>
      <c r="W25">
        <v>0</v>
      </c>
      <c r="X25">
        <v>1188625873</v>
      </c>
      <c r="Y25">
        <v>0.1</v>
      </c>
      <c r="AA25">
        <v>0</v>
      </c>
      <c r="AB25">
        <v>199.44</v>
      </c>
      <c r="AC25">
        <v>13.5</v>
      </c>
      <c r="AD25">
        <v>0</v>
      </c>
      <c r="AE25">
        <v>0</v>
      </c>
      <c r="AF25">
        <v>31.26</v>
      </c>
      <c r="AG25">
        <v>13.5</v>
      </c>
      <c r="AH25">
        <v>0</v>
      </c>
      <c r="AI25">
        <v>1</v>
      </c>
      <c r="AJ25">
        <v>6.38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0.08</v>
      </c>
      <c r="AU25" t="s">
        <v>27</v>
      </c>
      <c r="AV25">
        <v>0</v>
      </c>
      <c r="AW25">
        <v>2</v>
      </c>
      <c r="AX25">
        <v>16629038</v>
      </c>
      <c r="AY25">
        <v>1</v>
      </c>
      <c r="AZ25">
        <v>0</v>
      </c>
      <c r="BA25">
        <v>24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Y25*Source!I30</f>
        <v>6.5320000000000003E-2</v>
      </c>
      <c r="CY25">
        <f>AB25</f>
        <v>199.44</v>
      </c>
      <c r="CZ25">
        <f>AF25</f>
        <v>31.26</v>
      </c>
      <c r="DA25">
        <f>AJ25</f>
        <v>6.38</v>
      </c>
      <c r="DB25">
        <v>0</v>
      </c>
    </row>
    <row r="26" spans="1:106" x14ac:dyDescent="0.2">
      <c r="A26">
        <f>ROW(Source!A30)</f>
        <v>30</v>
      </c>
      <c r="B26">
        <v>16628881</v>
      </c>
      <c r="C26">
        <v>16629024</v>
      </c>
      <c r="D26">
        <v>15249073</v>
      </c>
      <c r="E26">
        <v>1</v>
      </c>
      <c r="F26">
        <v>1</v>
      </c>
      <c r="G26">
        <v>1</v>
      </c>
      <c r="H26">
        <v>2</v>
      </c>
      <c r="I26" t="s">
        <v>242</v>
      </c>
      <c r="J26" t="s">
        <v>243</v>
      </c>
      <c r="K26" t="s">
        <v>244</v>
      </c>
      <c r="L26">
        <v>1368</v>
      </c>
      <c r="N26">
        <v>1011</v>
      </c>
      <c r="O26" t="s">
        <v>239</v>
      </c>
      <c r="P26" t="s">
        <v>239</v>
      </c>
      <c r="Q26">
        <v>1</v>
      </c>
      <c r="W26">
        <v>0</v>
      </c>
      <c r="X26">
        <v>1372534845</v>
      </c>
      <c r="Y26">
        <v>0.625</v>
      </c>
      <c r="AA26">
        <v>0</v>
      </c>
      <c r="AB26">
        <v>419.23</v>
      </c>
      <c r="AC26">
        <v>11.6</v>
      </c>
      <c r="AD26">
        <v>0</v>
      </c>
      <c r="AE26">
        <v>0</v>
      </c>
      <c r="AF26">
        <v>65.709999999999994</v>
      </c>
      <c r="AG26">
        <v>11.6</v>
      </c>
      <c r="AH26">
        <v>0</v>
      </c>
      <c r="AI26">
        <v>1</v>
      </c>
      <c r="AJ26">
        <v>6.38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0.5</v>
      </c>
      <c r="AU26" t="s">
        <v>27</v>
      </c>
      <c r="AV26">
        <v>0</v>
      </c>
      <c r="AW26">
        <v>2</v>
      </c>
      <c r="AX26">
        <v>16629039</v>
      </c>
      <c r="AY26">
        <v>1</v>
      </c>
      <c r="AZ26">
        <v>0</v>
      </c>
      <c r="BA26">
        <v>25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Y26*Source!I30</f>
        <v>0.40825</v>
      </c>
      <c r="CY26">
        <f>AB26</f>
        <v>419.23</v>
      </c>
      <c r="CZ26">
        <f>AF26</f>
        <v>65.709999999999994</v>
      </c>
      <c r="DA26">
        <f>AJ26</f>
        <v>6.38</v>
      </c>
      <c r="DB26">
        <v>0</v>
      </c>
    </row>
    <row r="27" spans="1:106" x14ac:dyDescent="0.2">
      <c r="A27">
        <f>ROW(Source!A30)</f>
        <v>30</v>
      </c>
      <c r="B27">
        <v>16628881</v>
      </c>
      <c r="C27">
        <v>16629024</v>
      </c>
      <c r="D27">
        <v>15171018</v>
      </c>
      <c r="E27">
        <v>1</v>
      </c>
      <c r="F27">
        <v>1</v>
      </c>
      <c r="G27">
        <v>1</v>
      </c>
      <c r="H27">
        <v>3</v>
      </c>
      <c r="I27" t="s">
        <v>279</v>
      </c>
      <c r="J27" t="s">
        <v>280</v>
      </c>
      <c r="K27" t="s">
        <v>281</v>
      </c>
      <c r="L27">
        <v>1346</v>
      </c>
      <c r="N27">
        <v>1009</v>
      </c>
      <c r="O27" t="s">
        <v>65</v>
      </c>
      <c r="P27" t="s">
        <v>65</v>
      </c>
      <c r="Q27">
        <v>1</v>
      </c>
      <c r="W27">
        <v>0</v>
      </c>
      <c r="X27">
        <v>813963326</v>
      </c>
      <c r="Y27">
        <v>0.2</v>
      </c>
      <c r="AA27">
        <v>11.61</v>
      </c>
      <c r="AB27">
        <v>0</v>
      </c>
      <c r="AC27">
        <v>0</v>
      </c>
      <c r="AD27">
        <v>0</v>
      </c>
      <c r="AE27">
        <v>1.82</v>
      </c>
      <c r="AF27">
        <v>0</v>
      </c>
      <c r="AG27">
        <v>0</v>
      </c>
      <c r="AH27">
        <v>0</v>
      </c>
      <c r="AI27">
        <v>6.38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0.2</v>
      </c>
      <c r="AU27" t="s">
        <v>6</v>
      </c>
      <c r="AV27">
        <v>0</v>
      </c>
      <c r="AW27">
        <v>2</v>
      </c>
      <c r="AX27">
        <v>16629041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Y27*Source!I30</f>
        <v>0.13064000000000001</v>
      </c>
      <c r="CY27">
        <f>AA27</f>
        <v>11.61</v>
      </c>
      <c r="CZ27">
        <f>AE27</f>
        <v>1.82</v>
      </c>
      <c r="DA27">
        <f>AI27</f>
        <v>6.38</v>
      </c>
      <c r="DB27">
        <v>0</v>
      </c>
    </row>
    <row r="28" spans="1:106" x14ac:dyDescent="0.2">
      <c r="A28">
        <f>ROW(Source!A30)</f>
        <v>30</v>
      </c>
      <c r="B28">
        <v>16628881</v>
      </c>
      <c r="C28">
        <v>16629024</v>
      </c>
      <c r="D28">
        <v>15162257</v>
      </c>
      <c r="E28">
        <v>17</v>
      </c>
      <c r="F28">
        <v>1</v>
      </c>
      <c r="G28">
        <v>1</v>
      </c>
      <c r="H28">
        <v>3</v>
      </c>
      <c r="I28" t="s">
        <v>72</v>
      </c>
      <c r="J28" t="s">
        <v>6</v>
      </c>
      <c r="K28" t="s">
        <v>73</v>
      </c>
      <c r="L28">
        <v>1346</v>
      </c>
      <c r="N28">
        <v>1009</v>
      </c>
      <c r="O28" t="s">
        <v>65</v>
      </c>
      <c r="P28" t="s">
        <v>65</v>
      </c>
      <c r="Q28">
        <v>1</v>
      </c>
      <c r="W28">
        <v>0</v>
      </c>
      <c r="X28">
        <v>-1516100259</v>
      </c>
      <c r="Y28">
        <v>30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6.38</v>
      </c>
      <c r="AJ28">
        <v>1</v>
      </c>
      <c r="AK28">
        <v>1</v>
      </c>
      <c r="AL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6</v>
      </c>
      <c r="AT28">
        <v>30</v>
      </c>
      <c r="AU28" t="s">
        <v>6</v>
      </c>
      <c r="AV28">
        <v>0</v>
      </c>
      <c r="AW28">
        <v>2</v>
      </c>
      <c r="AX28">
        <v>16629042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Y28*Source!I30</f>
        <v>19.596</v>
      </c>
      <c r="CY28">
        <f>AA28</f>
        <v>0</v>
      </c>
      <c r="CZ28">
        <f>AE28</f>
        <v>0</v>
      </c>
      <c r="DA28">
        <f>AI28</f>
        <v>6.38</v>
      </c>
      <c r="DB28">
        <v>0</v>
      </c>
    </row>
    <row r="29" spans="1:106" x14ac:dyDescent="0.2">
      <c r="A29">
        <f>ROW(Source!A30)</f>
        <v>30</v>
      </c>
      <c r="B29">
        <v>16628881</v>
      </c>
      <c r="C29">
        <v>16629024</v>
      </c>
      <c r="D29">
        <v>15202713</v>
      </c>
      <c r="E29">
        <v>1</v>
      </c>
      <c r="F29">
        <v>1</v>
      </c>
      <c r="G29">
        <v>1</v>
      </c>
      <c r="H29">
        <v>3</v>
      </c>
      <c r="I29" t="s">
        <v>63</v>
      </c>
      <c r="J29" t="s">
        <v>66</v>
      </c>
      <c r="K29" t="s">
        <v>64</v>
      </c>
      <c r="L29">
        <v>1346</v>
      </c>
      <c r="N29">
        <v>1009</v>
      </c>
      <c r="O29" t="s">
        <v>65</v>
      </c>
      <c r="P29" t="s">
        <v>65</v>
      </c>
      <c r="Q29">
        <v>1</v>
      </c>
      <c r="W29">
        <v>0</v>
      </c>
      <c r="X29">
        <v>1227292258</v>
      </c>
      <c r="Y29">
        <v>30</v>
      </c>
      <c r="AA29">
        <v>125.81</v>
      </c>
      <c r="AB29">
        <v>0</v>
      </c>
      <c r="AC29">
        <v>0</v>
      </c>
      <c r="AD29">
        <v>0</v>
      </c>
      <c r="AE29">
        <v>19.72</v>
      </c>
      <c r="AF29">
        <v>0</v>
      </c>
      <c r="AG29">
        <v>0</v>
      </c>
      <c r="AH29">
        <v>0</v>
      </c>
      <c r="AI29">
        <v>6.38</v>
      </c>
      <c r="AJ29">
        <v>1</v>
      </c>
      <c r="AK29">
        <v>1</v>
      </c>
      <c r="AL29">
        <v>1</v>
      </c>
      <c r="AN29">
        <v>0</v>
      </c>
      <c r="AO29">
        <v>0</v>
      </c>
      <c r="AP29">
        <v>0</v>
      </c>
      <c r="AQ29">
        <v>0</v>
      </c>
      <c r="AR29">
        <v>0</v>
      </c>
      <c r="AS29" t="s">
        <v>6</v>
      </c>
      <c r="AT29">
        <v>30</v>
      </c>
      <c r="AU29" t="s">
        <v>6</v>
      </c>
      <c r="AV29">
        <v>0</v>
      </c>
      <c r="AW29">
        <v>1</v>
      </c>
      <c r="AX29">
        <v>-1</v>
      </c>
      <c r="AY29">
        <v>0</v>
      </c>
      <c r="AZ29">
        <v>0</v>
      </c>
      <c r="BA29" t="s">
        <v>6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Y29*Source!I30</f>
        <v>19.596</v>
      </c>
      <c r="CY29">
        <f>AA29</f>
        <v>125.81</v>
      </c>
      <c r="CZ29">
        <f>AE29</f>
        <v>19.72</v>
      </c>
      <c r="DA29">
        <f>AI29</f>
        <v>6.38</v>
      </c>
      <c r="DB29">
        <v>0</v>
      </c>
    </row>
    <row r="30" spans="1:106" x14ac:dyDescent="0.2">
      <c r="A30">
        <f>ROW(Source!A30)</f>
        <v>30</v>
      </c>
      <c r="B30">
        <v>16628881</v>
      </c>
      <c r="C30">
        <v>16629024</v>
      </c>
      <c r="D30">
        <v>15203219</v>
      </c>
      <c r="E30">
        <v>1</v>
      </c>
      <c r="F30">
        <v>1</v>
      </c>
      <c r="G30">
        <v>1</v>
      </c>
      <c r="H30">
        <v>3</v>
      </c>
      <c r="I30" t="s">
        <v>68</v>
      </c>
      <c r="J30" t="s">
        <v>70</v>
      </c>
      <c r="K30" t="s">
        <v>69</v>
      </c>
      <c r="L30">
        <v>1346</v>
      </c>
      <c r="N30">
        <v>1009</v>
      </c>
      <c r="O30" t="s">
        <v>65</v>
      </c>
      <c r="P30" t="s">
        <v>65</v>
      </c>
      <c r="Q30">
        <v>1</v>
      </c>
      <c r="W30">
        <v>0</v>
      </c>
      <c r="X30">
        <v>1092481488</v>
      </c>
      <c r="Y30">
        <v>8.9</v>
      </c>
      <c r="AA30">
        <v>1345.54</v>
      </c>
      <c r="AB30">
        <v>0</v>
      </c>
      <c r="AC30">
        <v>0</v>
      </c>
      <c r="AD30">
        <v>0</v>
      </c>
      <c r="AE30">
        <v>210.9</v>
      </c>
      <c r="AF30">
        <v>0</v>
      </c>
      <c r="AG30">
        <v>0</v>
      </c>
      <c r="AH30">
        <v>0</v>
      </c>
      <c r="AI30">
        <v>6.38</v>
      </c>
      <c r="AJ30">
        <v>1</v>
      </c>
      <c r="AK30">
        <v>1</v>
      </c>
      <c r="AL30">
        <v>1</v>
      </c>
      <c r="AN30">
        <v>0</v>
      </c>
      <c r="AO30">
        <v>0</v>
      </c>
      <c r="AP30">
        <v>0</v>
      </c>
      <c r="AQ30">
        <v>0</v>
      </c>
      <c r="AR30">
        <v>0</v>
      </c>
      <c r="AS30" t="s">
        <v>6</v>
      </c>
      <c r="AT30">
        <v>8.9</v>
      </c>
      <c r="AU30" t="s">
        <v>6</v>
      </c>
      <c r="AV30">
        <v>0</v>
      </c>
      <c r="AW30">
        <v>1</v>
      </c>
      <c r="AX30">
        <v>-1</v>
      </c>
      <c r="AY30">
        <v>0</v>
      </c>
      <c r="AZ30">
        <v>0</v>
      </c>
      <c r="BA30" t="s">
        <v>6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Y30*Source!I30</f>
        <v>5.8134800000000002</v>
      </c>
      <c r="CY30">
        <f>AA30</f>
        <v>1345.54</v>
      </c>
      <c r="CZ30">
        <f>AE30</f>
        <v>210.9</v>
      </c>
      <c r="DA30">
        <f>AI30</f>
        <v>6.38</v>
      </c>
      <c r="DB30">
        <v>0</v>
      </c>
    </row>
    <row r="31" spans="1:106" x14ac:dyDescent="0.2">
      <c r="A31">
        <f>ROW(Source!A30)</f>
        <v>30</v>
      </c>
      <c r="B31">
        <v>16628881</v>
      </c>
      <c r="C31">
        <v>16629024</v>
      </c>
      <c r="D31">
        <v>0</v>
      </c>
      <c r="E31">
        <v>0</v>
      </c>
      <c r="F31">
        <v>1</v>
      </c>
      <c r="G31">
        <v>1</v>
      </c>
      <c r="H31">
        <v>3</v>
      </c>
      <c r="I31" t="s">
        <v>33</v>
      </c>
      <c r="J31" t="s">
        <v>6</v>
      </c>
      <c r="K31" t="s">
        <v>60</v>
      </c>
      <c r="L31">
        <v>1301</v>
      </c>
      <c r="N31">
        <v>1003</v>
      </c>
      <c r="O31" t="s">
        <v>45</v>
      </c>
      <c r="P31" t="s">
        <v>45</v>
      </c>
      <c r="Q31">
        <v>1</v>
      </c>
      <c r="W31">
        <v>0</v>
      </c>
      <c r="X31">
        <v>199748778</v>
      </c>
      <c r="Y31">
        <v>250</v>
      </c>
      <c r="AA31">
        <v>506.76</v>
      </c>
      <c r="AB31">
        <v>0</v>
      </c>
      <c r="AC31">
        <v>0</v>
      </c>
      <c r="AD31">
        <v>0</v>
      </c>
      <c r="AE31">
        <v>79.430000000000007</v>
      </c>
      <c r="AF31">
        <v>0</v>
      </c>
      <c r="AG31">
        <v>0</v>
      </c>
      <c r="AH31">
        <v>0</v>
      </c>
      <c r="AI31">
        <v>6.38</v>
      </c>
      <c r="AJ31">
        <v>1</v>
      </c>
      <c r="AK31">
        <v>1</v>
      </c>
      <c r="AL31">
        <v>1</v>
      </c>
      <c r="AN31">
        <v>0</v>
      </c>
      <c r="AO31">
        <v>0</v>
      </c>
      <c r="AP31">
        <v>0</v>
      </c>
      <c r="AQ31">
        <v>0</v>
      </c>
      <c r="AR31">
        <v>0</v>
      </c>
      <c r="AS31" t="s">
        <v>6</v>
      </c>
      <c r="AT31">
        <v>250</v>
      </c>
      <c r="AU31" t="s">
        <v>6</v>
      </c>
      <c r="AV31">
        <v>0</v>
      </c>
      <c r="AW31">
        <v>1</v>
      </c>
      <c r="AX31">
        <v>-1</v>
      </c>
      <c r="AY31">
        <v>0</v>
      </c>
      <c r="AZ31">
        <v>0</v>
      </c>
      <c r="BA31" t="s">
        <v>6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Y31*Source!I30</f>
        <v>163.30000000000001</v>
      </c>
      <c r="CY31">
        <f>AA31</f>
        <v>506.76</v>
      </c>
      <c r="CZ31">
        <f>AE31</f>
        <v>79.430000000000007</v>
      </c>
      <c r="DA31">
        <f>AI31</f>
        <v>6.38</v>
      </c>
      <c r="DB31">
        <v>0</v>
      </c>
    </row>
    <row r="32" spans="1:106" x14ac:dyDescent="0.2">
      <c r="A32">
        <f>ROW(Source!A35)</f>
        <v>35</v>
      </c>
      <c r="B32">
        <v>16628881</v>
      </c>
      <c r="C32">
        <v>16629260</v>
      </c>
      <c r="D32">
        <v>15430767</v>
      </c>
      <c r="E32">
        <v>1</v>
      </c>
      <c r="F32">
        <v>1</v>
      </c>
      <c r="G32">
        <v>1</v>
      </c>
      <c r="H32">
        <v>1</v>
      </c>
      <c r="I32" t="s">
        <v>266</v>
      </c>
      <c r="J32" t="s">
        <v>6</v>
      </c>
      <c r="K32" t="s">
        <v>267</v>
      </c>
      <c r="L32">
        <v>1191</v>
      </c>
      <c r="N32">
        <v>1013</v>
      </c>
      <c r="O32" t="s">
        <v>233</v>
      </c>
      <c r="P32" t="s">
        <v>233</v>
      </c>
      <c r="Q32">
        <v>1</v>
      </c>
      <c r="W32">
        <v>0</v>
      </c>
      <c r="X32">
        <v>-400197608</v>
      </c>
      <c r="Y32">
        <v>7.7049999999999992</v>
      </c>
      <c r="AA32">
        <v>0</v>
      </c>
      <c r="AB32">
        <v>0</v>
      </c>
      <c r="AC32">
        <v>0</v>
      </c>
      <c r="AD32">
        <v>54.42</v>
      </c>
      <c r="AE32">
        <v>0</v>
      </c>
      <c r="AF32">
        <v>0</v>
      </c>
      <c r="AG32">
        <v>0</v>
      </c>
      <c r="AH32">
        <v>8.5299999999999994</v>
      </c>
      <c r="AI32">
        <v>1</v>
      </c>
      <c r="AJ32">
        <v>1</v>
      </c>
      <c r="AK32">
        <v>1</v>
      </c>
      <c r="AL32">
        <v>6.38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6.7</v>
      </c>
      <c r="AU32" t="s">
        <v>28</v>
      </c>
      <c r="AV32">
        <v>1</v>
      </c>
      <c r="AW32">
        <v>2</v>
      </c>
      <c r="AX32">
        <v>16629261</v>
      </c>
      <c r="AY32">
        <v>1</v>
      </c>
      <c r="AZ32">
        <v>0</v>
      </c>
      <c r="BA32">
        <v>30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Y32*Source!I35</f>
        <v>12.582265</v>
      </c>
      <c r="CY32">
        <f>AD32</f>
        <v>54.42</v>
      </c>
      <c r="CZ32">
        <f>AH32</f>
        <v>8.5299999999999994</v>
      </c>
      <c r="DA32">
        <f>AL32</f>
        <v>6.38</v>
      </c>
      <c r="DB32">
        <v>0</v>
      </c>
    </row>
    <row r="33" spans="1:106" x14ac:dyDescent="0.2">
      <c r="A33">
        <f>ROW(Source!A35)</f>
        <v>35</v>
      </c>
      <c r="B33">
        <v>16628881</v>
      </c>
      <c r="C33">
        <v>16629260</v>
      </c>
      <c r="D33">
        <v>15162472</v>
      </c>
      <c r="E33">
        <v>17</v>
      </c>
      <c r="F33">
        <v>1</v>
      </c>
      <c r="G33">
        <v>1</v>
      </c>
      <c r="H33">
        <v>3</v>
      </c>
      <c r="I33" t="s">
        <v>80</v>
      </c>
      <c r="J33" t="s">
        <v>6</v>
      </c>
      <c r="K33" t="s">
        <v>81</v>
      </c>
      <c r="L33">
        <v>2233</v>
      </c>
      <c r="N33">
        <v>1013</v>
      </c>
      <c r="O33" t="s">
        <v>82</v>
      </c>
      <c r="P33" t="s">
        <v>82</v>
      </c>
      <c r="Q33">
        <v>1</v>
      </c>
      <c r="W33">
        <v>0</v>
      </c>
      <c r="X33">
        <v>-1710570218</v>
      </c>
      <c r="Y33">
        <v>100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6.38</v>
      </c>
      <c r="AJ33">
        <v>1</v>
      </c>
      <c r="AK33">
        <v>1</v>
      </c>
      <c r="AL33">
        <v>1</v>
      </c>
      <c r="AN33">
        <v>0</v>
      </c>
      <c r="AO33">
        <v>0</v>
      </c>
      <c r="AP33">
        <v>0</v>
      </c>
      <c r="AQ33">
        <v>0</v>
      </c>
      <c r="AR33">
        <v>0</v>
      </c>
      <c r="AS33" t="s">
        <v>6</v>
      </c>
      <c r="AT33">
        <v>100</v>
      </c>
      <c r="AU33" t="s">
        <v>6</v>
      </c>
      <c r="AV33">
        <v>0</v>
      </c>
      <c r="AW33">
        <v>2</v>
      </c>
      <c r="AX33">
        <v>16629262</v>
      </c>
      <c r="AY33">
        <v>1</v>
      </c>
      <c r="AZ33">
        <v>0</v>
      </c>
      <c r="BA33">
        <v>31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Y33*Source!I35</f>
        <v>163.30000000000001</v>
      </c>
      <c r="CY33">
        <f>AA33</f>
        <v>0</v>
      </c>
      <c r="CZ33">
        <f>AE33</f>
        <v>0</v>
      </c>
      <c r="DA33">
        <f>AI33</f>
        <v>6.38</v>
      </c>
      <c r="DB33">
        <v>0</v>
      </c>
    </row>
    <row r="34" spans="1:106" x14ac:dyDescent="0.2">
      <c r="A34">
        <f>ROW(Source!A35)</f>
        <v>35</v>
      </c>
      <c r="B34">
        <v>16628881</v>
      </c>
      <c r="C34">
        <v>16629260</v>
      </c>
      <c r="D34">
        <v>15197756</v>
      </c>
      <c r="E34">
        <v>1</v>
      </c>
      <c r="F34">
        <v>1</v>
      </c>
      <c r="G34">
        <v>1</v>
      </c>
      <c r="H34">
        <v>3</v>
      </c>
      <c r="I34" t="s">
        <v>84</v>
      </c>
      <c r="J34" t="s">
        <v>87</v>
      </c>
      <c r="K34" t="s">
        <v>85</v>
      </c>
      <c r="L34">
        <v>1302</v>
      </c>
      <c r="N34">
        <v>1003</v>
      </c>
      <c r="O34" t="s">
        <v>86</v>
      </c>
      <c r="P34" t="s">
        <v>86</v>
      </c>
      <c r="Q34">
        <v>10</v>
      </c>
      <c r="W34">
        <v>0</v>
      </c>
      <c r="X34">
        <v>189188006</v>
      </c>
      <c r="Y34">
        <v>10</v>
      </c>
      <c r="AA34">
        <v>163.33000000000001</v>
      </c>
      <c r="AB34">
        <v>0</v>
      </c>
      <c r="AC34">
        <v>0</v>
      </c>
      <c r="AD34">
        <v>0</v>
      </c>
      <c r="AE34">
        <v>25.6</v>
      </c>
      <c r="AF34">
        <v>0</v>
      </c>
      <c r="AG34">
        <v>0</v>
      </c>
      <c r="AH34">
        <v>0</v>
      </c>
      <c r="AI34">
        <v>6.38</v>
      </c>
      <c r="AJ34">
        <v>1</v>
      </c>
      <c r="AK34">
        <v>1</v>
      </c>
      <c r="AL34">
        <v>1</v>
      </c>
      <c r="AN34">
        <v>0</v>
      </c>
      <c r="AO34">
        <v>0</v>
      </c>
      <c r="AP34">
        <v>0</v>
      </c>
      <c r="AQ34">
        <v>0</v>
      </c>
      <c r="AR34">
        <v>0</v>
      </c>
      <c r="AS34" t="s">
        <v>6</v>
      </c>
      <c r="AT34">
        <v>10</v>
      </c>
      <c r="AU34" t="s">
        <v>6</v>
      </c>
      <c r="AV34">
        <v>0</v>
      </c>
      <c r="AW34">
        <v>1</v>
      </c>
      <c r="AX34">
        <v>-1</v>
      </c>
      <c r="AY34">
        <v>0</v>
      </c>
      <c r="AZ34">
        <v>0</v>
      </c>
      <c r="BA34" t="s">
        <v>6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Y34*Source!I35</f>
        <v>16.329999999999998</v>
      </c>
      <c r="CY34">
        <f>AA34</f>
        <v>163.33000000000001</v>
      </c>
      <c r="CZ34">
        <f>AE34</f>
        <v>25.6</v>
      </c>
      <c r="DA34">
        <f>AI34</f>
        <v>6.38</v>
      </c>
      <c r="DB34">
        <v>0</v>
      </c>
    </row>
    <row r="35" spans="1:106" x14ac:dyDescent="0.2">
      <c r="A35">
        <f>ROW(Source!A35)</f>
        <v>35</v>
      </c>
      <c r="B35">
        <v>16628881</v>
      </c>
      <c r="C35">
        <v>16629260</v>
      </c>
      <c r="D35">
        <v>15202504</v>
      </c>
      <c r="E35">
        <v>1</v>
      </c>
      <c r="F35">
        <v>1</v>
      </c>
      <c r="G35">
        <v>1</v>
      </c>
      <c r="H35">
        <v>3</v>
      </c>
      <c r="I35" t="s">
        <v>282</v>
      </c>
      <c r="J35" t="s">
        <v>283</v>
      </c>
      <c r="K35" t="s">
        <v>284</v>
      </c>
      <c r="L35">
        <v>1346</v>
      </c>
      <c r="N35">
        <v>1009</v>
      </c>
      <c r="O35" t="s">
        <v>65</v>
      </c>
      <c r="P35" t="s">
        <v>65</v>
      </c>
      <c r="Q35">
        <v>1</v>
      </c>
      <c r="W35">
        <v>0</v>
      </c>
      <c r="X35">
        <v>-1230081286</v>
      </c>
      <c r="Y35">
        <v>0.8</v>
      </c>
      <c r="AA35">
        <v>287.10000000000002</v>
      </c>
      <c r="AB35">
        <v>0</v>
      </c>
      <c r="AC35">
        <v>0</v>
      </c>
      <c r="AD35">
        <v>0</v>
      </c>
      <c r="AE35">
        <v>45</v>
      </c>
      <c r="AF35">
        <v>0</v>
      </c>
      <c r="AG35">
        <v>0</v>
      </c>
      <c r="AH35">
        <v>0</v>
      </c>
      <c r="AI35">
        <v>6.38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0.8</v>
      </c>
      <c r="AU35" t="s">
        <v>6</v>
      </c>
      <c r="AV35">
        <v>0</v>
      </c>
      <c r="AW35">
        <v>2</v>
      </c>
      <c r="AX35">
        <v>16629263</v>
      </c>
      <c r="AY35">
        <v>1</v>
      </c>
      <c r="AZ35">
        <v>0</v>
      </c>
      <c r="BA35">
        <v>32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Y35*Source!I35</f>
        <v>1.3064</v>
      </c>
      <c r="CY35">
        <f>AA35</f>
        <v>287.10000000000002</v>
      </c>
      <c r="CZ35">
        <f>AE35</f>
        <v>45</v>
      </c>
      <c r="DA35">
        <f>AI35</f>
        <v>6.38</v>
      </c>
      <c r="DB35">
        <v>0</v>
      </c>
    </row>
    <row r="36" spans="1:106" x14ac:dyDescent="0.2">
      <c r="A36">
        <f>ROW(Source!A38)</f>
        <v>38</v>
      </c>
      <c r="B36">
        <v>16628881</v>
      </c>
      <c r="C36">
        <v>16629050</v>
      </c>
      <c r="D36">
        <v>15430767</v>
      </c>
      <c r="E36">
        <v>1</v>
      </c>
      <c r="F36">
        <v>1</v>
      </c>
      <c r="G36">
        <v>1</v>
      </c>
      <c r="H36">
        <v>1</v>
      </c>
      <c r="I36" t="s">
        <v>266</v>
      </c>
      <c r="J36" t="s">
        <v>6</v>
      </c>
      <c r="K36" t="s">
        <v>267</v>
      </c>
      <c r="L36">
        <v>1191</v>
      </c>
      <c r="N36">
        <v>1013</v>
      </c>
      <c r="O36" t="s">
        <v>233</v>
      </c>
      <c r="P36" t="s">
        <v>233</v>
      </c>
      <c r="Q36">
        <v>1</v>
      </c>
      <c r="W36">
        <v>0</v>
      </c>
      <c r="X36">
        <v>-400197608</v>
      </c>
      <c r="Y36">
        <v>24.368500000000001</v>
      </c>
      <c r="AA36">
        <v>0</v>
      </c>
      <c r="AB36">
        <v>0</v>
      </c>
      <c r="AC36">
        <v>0</v>
      </c>
      <c r="AD36">
        <v>54.42</v>
      </c>
      <c r="AE36">
        <v>0</v>
      </c>
      <c r="AF36">
        <v>0</v>
      </c>
      <c r="AG36">
        <v>0</v>
      </c>
      <c r="AH36">
        <v>8.5299999999999994</v>
      </c>
      <c r="AI36">
        <v>1</v>
      </c>
      <c r="AJ36">
        <v>1</v>
      </c>
      <c r="AK36">
        <v>1</v>
      </c>
      <c r="AL36">
        <v>6.38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21.19</v>
      </c>
      <c r="AU36" t="s">
        <v>28</v>
      </c>
      <c r="AV36">
        <v>1</v>
      </c>
      <c r="AW36">
        <v>2</v>
      </c>
      <c r="AX36">
        <v>16629058</v>
      </c>
      <c r="AY36">
        <v>1</v>
      </c>
      <c r="AZ36">
        <v>0</v>
      </c>
      <c r="BA36">
        <v>33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Y36*Source!I38</f>
        <v>14.572362999999999</v>
      </c>
      <c r="CY36">
        <f>AD36</f>
        <v>54.42</v>
      </c>
      <c r="CZ36">
        <f>AH36</f>
        <v>8.5299999999999994</v>
      </c>
      <c r="DA36">
        <f>AL36</f>
        <v>6.38</v>
      </c>
      <c r="DB36">
        <v>0</v>
      </c>
    </row>
    <row r="37" spans="1:106" x14ac:dyDescent="0.2">
      <c r="A37">
        <f>ROW(Source!A38)</f>
        <v>38</v>
      </c>
      <c r="B37">
        <v>16628881</v>
      </c>
      <c r="C37">
        <v>16629050</v>
      </c>
      <c r="D37">
        <v>15430395</v>
      </c>
      <c r="E37">
        <v>1</v>
      </c>
      <c r="F37">
        <v>1</v>
      </c>
      <c r="G37">
        <v>1</v>
      </c>
      <c r="H37">
        <v>1</v>
      </c>
      <c r="I37" t="s">
        <v>234</v>
      </c>
      <c r="J37" t="s">
        <v>6</v>
      </c>
      <c r="K37" t="s">
        <v>235</v>
      </c>
      <c r="L37">
        <v>1191</v>
      </c>
      <c r="N37">
        <v>1013</v>
      </c>
      <c r="O37" t="s">
        <v>233</v>
      </c>
      <c r="P37" t="s">
        <v>233</v>
      </c>
      <c r="Q37">
        <v>1</v>
      </c>
      <c r="W37">
        <v>0</v>
      </c>
      <c r="X37">
        <v>-1417349443</v>
      </c>
      <c r="Y37">
        <v>0.19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6.38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0.19</v>
      </c>
      <c r="AU37" t="s">
        <v>6</v>
      </c>
      <c r="AV37">
        <v>2</v>
      </c>
      <c r="AW37">
        <v>2</v>
      </c>
      <c r="AX37">
        <v>16629059</v>
      </c>
      <c r="AY37">
        <v>1</v>
      </c>
      <c r="AZ37">
        <v>2048</v>
      </c>
      <c r="BA37">
        <v>34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Y37*Source!I38</f>
        <v>0.11362</v>
      </c>
      <c r="CY37">
        <f>AD37</f>
        <v>0</v>
      </c>
      <c r="CZ37">
        <f>AH37</f>
        <v>0</v>
      </c>
      <c r="DA37">
        <f>AL37</f>
        <v>1</v>
      </c>
      <c r="DB37">
        <v>0</v>
      </c>
    </row>
    <row r="38" spans="1:106" x14ac:dyDescent="0.2">
      <c r="A38">
        <f>ROW(Source!A38)</f>
        <v>38</v>
      </c>
      <c r="B38">
        <v>16628881</v>
      </c>
      <c r="C38">
        <v>16629050</v>
      </c>
      <c r="D38">
        <v>15247974</v>
      </c>
      <c r="E38">
        <v>1</v>
      </c>
      <c r="F38">
        <v>1</v>
      </c>
      <c r="G38">
        <v>1</v>
      </c>
      <c r="H38">
        <v>2</v>
      </c>
      <c r="I38" t="s">
        <v>236</v>
      </c>
      <c r="J38" t="s">
        <v>237</v>
      </c>
      <c r="K38" t="s">
        <v>238</v>
      </c>
      <c r="L38">
        <v>1368</v>
      </c>
      <c r="N38">
        <v>1011</v>
      </c>
      <c r="O38" t="s">
        <v>239</v>
      </c>
      <c r="P38" t="s">
        <v>239</v>
      </c>
      <c r="Q38">
        <v>1</v>
      </c>
      <c r="W38">
        <v>0</v>
      </c>
      <c r="X38">
        <v>1188625873</v>
      </c>
      <c r="Y38">
        <v>0.05</v>
      </c>
      <c r="AA38">
        <v>0</v>
      </c>
      <c r="AB38">
        <v>199.44</v>
      </c>
      <c r="AC38">
        <v>13.5</v>
      </c>
      <c r="AD38">
        <v>0</v>
      </c>
      <c r="AE38">
        <v>0</v>
      </c>
      <c r="AF38">
        <v>31.26</v>
      </c>
      <c r="AG38">
        <v>13.5</v>
      </c>
      <c r="AH38">
        <v>0</v>
      </c>
      <c r="AI38">
        <v>1</v>
      </c>
      <c r="AJ38">
        <v>6.38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0.04</v>
      </c>
      <c r="AU38" t="s">
        <v>27</v>
      </c>
      <c r="AV38">
        <v>0</v>
      </c>
      <c r="AW38">
        <v>2</v>
      </c>
      <c r="AX38">
        <v>16629060</v>
      </c>
      <c r="AY38">
        <v>1</v>
      </c>
      <c r="AZ38">
        <v>0</v>
      </c>
      <c r="BA38">
        <v>35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Y38*Source!I38</f>
        <v>2.9899999999999999E-2</v>
      </c>
      <c r="CY38">
        <f>AB38</f>
        <v>199.44</v>
      </c>
      <c r="CZ38">
        <f>AF38</f>
        <v>31.26</v>
      </c>
      <c r="DA38">
        <f>AJ38</f>
        <v>6.38</v>
      </c>
      <c r="DB38">
        <v>0</v>
      </c>
    </row>
    <row r="39" spans="1:106" x14ac:dyDescent="0.2">
      <c r="A39">
        <f>ROW(Source!A38)</f>
        <v>38</v>
      </c>
      <c r="B39">
        <v>16628881</v>
      </c>
      <c r="C39">
        <v>16629050</v>
      </c>
      <c r="D39">
        <v>15249073</v>
      </c>
      <c r="E39">
        <v>1</v>
      </c>
      <c r="F39">
        <v>1</v>
      </c>
      <c r="G39">
        <v>1</v>
      </c>
      <c r="H39">
        <v>2</v>
      </c>
      <c r="I39" t="s">
        <v>242</v>
      </c>
      <c r="J39" t="s">
        <v>243</v>
      </c>
      <c r="K39" t="s">
        <v>244</v>
      </c>
      <c r="L39">
        <v>1368</v>
      </c>
      <c r="N39">
        <v>1011</v>
      </c>
      <c r="O39" t="s">
        <v>239</v>
      </c>
      <c r="P39" t="s">
        <v>239</v>
      </c>
      <c r="Q39">
        <v>1</v>
      </c>
      <c r="W39">
        <v>0</v>
      </c>
      <c r="X39">
        <v>1372534845</v>
      </c>
      <c r="Y39">
        <v>0.1875</v>
      </c>
      <c r="AA39">
        <v>0</v>
      </c>
      <c r="AB39">
        <v>419.23</v>
      </c>
      <c r="AC39">
        <v>11.6</v>
      </c>
      <c r="AD39">
        <v>0</v>
      </c>
      <c r="AE39">
        <v>0</v>
      </c>
      <c r="AF39">
        <v>65.709999999999994</v>
      </c>
      <c r="AG39">
        <v>11.6</v>
      </c>
      <c r="AH39">
        <v>0</v>
      </c>
      <c r="AI39">
        <v>1</v>
      </c>
      <c r="AJ39">
        <v>6.38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0.15</v>
      </c>
      <c r="AU39" t="s">
        <v>27</v>
      </c>
      <c r="AV39">
        <v>0</v>
      </c>
      <c r="AW39">
        <v>2</v>
      </c>
      <c r="AX39">
        <v>16629061</v>
      </c>
      <c r="AY39">
        <v>1</v>
      </c>
      <c r="AZ39">
        <v>0</v>
      </c>
      <c r="BA39">
        <v>36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Y39*Source!I38</f>
        <v>0.112125</v>
      </c>
      <c r="CY39">
        <f>AB39</f>
        <v>419.23</v>
      </c>
      <c r="CZ39">
        <f>AF39</f>
        <v>65.709999999999994</v>
      </c>
      <c r="DA39">
        <f>AJ39</f>
        <v>6.38</v>
      </c>
      <c r="DB39">
        <v>0</v>
      </c>
    </row>
    <row r="40" spans="1:106" x14ac:dyDescent="0.2">
      <c r="A40">
        <f>ROW(Source!A38)</f>
        <v>38</v>
      </c>
      <c r="B40">
        <v>16628881</v>
      </c>
      <c r="C40">
        <v>16629050</v>
      </c>
      <c r="D40">
        <v>15197780</v>
      </c>
      <c r="E40">
        <v>1</v>
      </c>
      <c r="F40">
        <v>1</v>
      </c>
      <c r="G40">
        <v>1</v>
      </c>
      <c r="H40">
        <v>3</v>
      </c>
      <c r="I40" t="s">
        <v>258</v>
      </c>
      <c r="J40" t="s">
        <v>259</v>
      </c>
      <c r="K40" t="s">
        <v>260</v>
      </c>
      <c r="L40">
        <v>1355</v>
      </c>
      <c r="N40">
        <v>1010</v>
      </c>
      <c r="O40" t="s">
        <v>261</v>
      </c>
      <c r="P40" t="s">
        <v>261</v>
      </c>
      <c r="Q40">
        <v>100</v>
      </c>
      <c r="W40">
        <v>0</v>
      </c>
      <c r="X40">
        <v>1709713925</v>
      </c>
      <c r="Y40">
        <v>4</v>
      </c>
      <c r="AA40">
        <v>319</v>
      </c>
      <c r="AB40">
        <v>0</v>
      </c>
      <c r="AC40">
        <v>0</v>
      </c>
      <c r="AD40">
        <v>0</v>
      </c>
      <c r="AE40">
        <v>50</v>
      </c>
      <c r="AF40">
        <v>0</v>
      </c>
      <c r="AG40">
        <v>0</v>
      </c>
      <c r="AH40">
        <v>0</v>
      </c>
      <c r="AI40">
        <v>6.38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4</v>
      </c>
      <c r="AU40" t="s">
        <v>6</v>
      </c>
      <c r="AV40">
        <v>0</v>
      </c>
      <c r="AW40">
        <v>2</v>
      </c>
      <c r="AX40">
        <v>16629063</v>
      </c>
      <c r="AY40">
        <v>1</v>
      </c>
      <c r="AZ40">
        <v>0</v>
      </c>
      <c r="BA40">
        <v>38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Y40*Source!I38</f>
        <v>2.3919999999999999</v>
      </c>
      <c r="CY40">
        <f>AA40</f>
        <v>319</v>
      </c>
      <c r="CZ40">
        <f>AE40</f>
        <v>50</v>
      </c>
      <c r="DA40">
        <f>AI40</f>
        <v>6.38</v>
      </c>
      <c r="DB40">
        <v>0</v>
      </c>
    </row>
    <row r="41" spans="1:106" x14ac:dyDescent="0.2">
      <c r="A41">
        <f>ROW(Source!A38)</f>
        <v>38</v>
      </c>
      <c r="B41">
        <v>16628881</v>
      </c>
      <c r="C41">
        <v>16629050</v>
      </c>
      <c r="D41">
        <v>15204239</v>
      </c>
      <c r="E41">
        <v>1</v>
      </c>
      <c r="F41">
        <v>1</v>
      </c>
      <c r="G41">
        <v>1</v>
      </c>
      <c r="H41">
        <v>3</v>
      </c>
      <c r="I41" t="s">
        <v>262</v>
      </c>
      <c r="J41" t="s">
        <v>263</v>
      </c>
      <c r="K41" t="s">
        <v>264</v>
      </c>
      <c r="L41">
        <v>1354</v>
      </c>
      <c r="N41">
        <v>1010</v>
      </c>
      <c r="O41" t="s">
        <v>265</v>
      </c>
      <c r="P41" t="s">
        <v>265</v>
      </c>
      <c r="Q41">
        <v>1</v>
      </c>
      <c r="W41">
        <v>0</v>
      </c>
      <c r="X41">
        <v>-1018551266</v>
      </c>
      <c r="Y41">
        <v>56.6</v>
      </c>
      <c r="AA41">
        <v>427.46</v>
      </c>
      <c r="AB41">
        <v>0</v>
      </c>
      <c r="AC41">
        <v>0</v>
      </c>
      <c r="AD41">
        <v>0</v>
      </c>
      <c r="AE41">
        <v>67</v>
      </c>
      <c r="AF41">
        <v>0</v>
      </c>
      <c r="AG41">
        <v>0</v>
      </c>
      <c r="AH41">
        <v>0</v>
      </c>
      <c r="AI41">
        <v>6.38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56.6</v>
      </c>
      <c r="AU41" t="s">
        <v>6</v>
      </c>
      <c r="AV41">
        <v>0</v>
      </c>
      <c r="AW41">
        <v>2</v>
      </c>
      <c r="AX41">
        <v>16629064</v>
      </c>
      <c r="AY41">
        <v>1</v>
      </c>
      <c r="AZ41">
        <v>0</v>
      </c>
      <c r="BA41">
        <v>39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Y41*Source!I38</f>
        <v>33.846800000000002</v>
      </c>
      <c r="CY41">
        <f>AA41</f>
        <v>427.46</v>
      </c>
      <c r="CZ41">
        <f>AE41</f>
        <v>67</v>
      </c>
      <c r="DA41">
        <f>AI41</f>
        <v>6.38</v>
      </c>
      <c r="DB41">
        <v>0</v>
      </c>
    </row>
    <row r="42" spans="1:106" x14ac:dyDescent="0.2">
      <c r="A42">
        <f>ROW(Source!A38)</f>
        <v>38</v>
      </c>
      <c r="B42">
        <v>16628881</v>
      </c>
      <c r="C42">
        <v>16629050</v>
      </c>
      <c r="D42">
        <v>0</v>
      </c>
      <c r="E42">
        <v>0</v>
      </c>
      <c r="F42">
        <v>1</v>
      </c>
      <c r="G42">
        <v>1</v>
      </c>
      <c r="H42">
        <v>3</v>
      </c>
      <c r="I42" t="s">
        <v>33</v>
      </c>
      <c r="J42" t="s">
        <v>6</v>
      </c>
      <c r="K42" t="s">
        <v>93</v>
      </c>
      <c r="L42">
        <v>1301</v>
      </c>
      <c r="N42">
        <v>1003</v>
      </c>
      <c r="O42" t="s">
        <v>45</v>
      </c>
      <c r="P42" t="s">
        <v>45</v>
      </c>
      <c r="Q42">
        <v>1</v>
      </c>
      <c r="W42">
        <v>0</v>
      </c>
      <c r="X42">
        <v>-961144730</v>
      </c>
      <c r="Y42">
        <v>100</v>
      </c>
      <c r="AA42">
        <v>1257.3699999999999</v>
      </c>
      <c r="AB42">
        <v>0</v>
      </c>
      <c r="AC42">
        <v>0</v>
      </c>
      <c r="AD42">
        <v>0</v>
      </c>
      <c r="AE42">
        <v>197.08</v>
      </c>
      <c r="AF42">
        <v>0</v>
      </c>
      <c r="AG42">
        <v>0</v>
      </c>
      <c r="AH42">
        <v>0</v>
      </c>
      <c r="AI42">
        <v>6.38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6</v>
      </c>
      <c r="AT42">
        <v>100</v>
      </c>
      <c r="AU42" t="s">
        <v>6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Y42*Source!I38</f>
        <v>59.8</v>
      </c>
      <c r="CY42">
        <f>AA42</f>
        <v>1257.3699999999999</v>
      </c>
      <c r="CZ42">
        <f>AE42</f>
        <v>197.08</v>
      </c>
      <c r="DA42">
        <f>AI42</f>
        <v>6.38</v>
      </c>
      <c r="DB4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9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16628947</v>
      </c>
      <c r="C1">
        <v>16628943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231</v>
      </c>
      <c r="J1" t="s">
        <v>6</v>
      </c>
      <c r="K1" t="s">
        <v>232</v>
      </c>
      <c r="L1">
        <v>1191</v>
      </c>
      <c r="N1">
        <v>1013</v>
      </c>
      <c r="O1" t="s">
        <v>233</v>
      </c>
      <c r="P1" t="s">
        <v>233</v>
      </c>
      <c r="Q1">
        <v>1</v>
      </c>
      <c r="X1">
        <v>188.54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188.54</v>
      </c>
      <c r="AH1">
        <v>2</v>
      </c>
      <c r="AI1">
        <v>16628944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16628948</v>
      </c>
      <c r="C2">
        <v>16628943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234</v>
      </c>
      <c r="J2" t="s">
        <v>6</v>
      </c>
      <c r="K2" t="s">
        <v>235</v>
      </c>
      <c r="L2">
        <v>1191</v>
      </c>
      <c r="N2">
        <v>1013</v>
      </c>
      <c r="O2" t="s">
        <v>233</v>
      </c>
      <c r="P2" t="s">
        <v>233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16628945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16628949</v>
      </c>
      <c r="C3">
        <v>16628943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236</v>
      </c>
      <c r="J3" t="s">
        <v>237</v>
      </c>
      <c r="K3" t="s">
        <v>238</v>
      </c>
      <c r="L3">
        <v>1368</v>
      </c>
      <c r="N3">
        <v>1011</v>
      </c>
      <c r="O3" t="s">
        <v>239</v>
      </c>
      <c r="P3" t="s">
        <v>239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16628946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16628965</v>
      </c>
      <c r="C4">
        <v>16628950</v>
      </c>
      <c r="D4">
        <v>15436014</v>
      </c>
      <c r="E4">
        <v>1</v>
      </c>
      <c r="F4">
        <v>1</v>
      </c>
      <c r="G4">
        <v>1</v>
      </c>
      <c r="H4">
        <v>1</v>
      </c>
      <c r="I4" t="s">
        <v>240</v>
      </c>
      <c r="J4" t="s">
        <v>6</v>
      </c>
      <c r="K4" t="s">
        <v>241</v>
      </c>
      <c r="L4">
        <v>1191</v>
      </c>
      <c r="N4">
        <v>1013</v>
      </c>
      <c r="O4" t="s">
        <v>233</v>
      </c>
      <c r="P4" t="s">
        <v>233</v>
      </c>
      <c r="Q4">
        <v>1</v>
      </c>
      <c r="X4">
        <v>149.16</v>
      </c>
      <c r="Y4">
        <v>0</v>
      </c>
      <c r="Z4">
        <v>0</v>
      </c>
      <c r="AA4">
        <v>0</v>
      </c>
      <c r="AB4">
        <v>8.74</v>
      </c>
      <c r="AC4">
        <v>0</v>
      </c>
      <c r="AD4">
        <v>1</v>
      </c>
      <c r="AE4">
        <v>1</v>
      </c>
      <c r="AF4" t="s">
        <v>28</v>
      </c>
      <c r="AG4">
        <v>171.53399999999999</v>
      </c>
      <c r="AH4">
        <v>2</v>
      </c>
      <c r="AI4">
        <v>16628951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16628966</v>
      </c>
      <c r="C5">
        <v>16628950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234</v>
      </c>
      <c r="J5" t="s">
        <v>6</v>
      </c>
      <c r="K5" t="s">
        <v>235</v>
      </c>
      <c r="L5">
        <v>1191</v>
      </c>
      <c r="N5">
        <v>1013</v>
      </c>
      <c r="O5" t="s">
        <v>233</v>
      </c>
      <c r="P5" t="s">
        <v>233</v>
      </c>
      <c r="Q5">
        <v>1</v>
      </c>
      <c r="X5">
        <v>4.2300000000000004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27</v>
      </c>
      <c r="AG5">
        <v>5.2875000000000005</v>
      </c>
      <c r="AH5">
        <v>2</v>
      </c>
      <c r="AI5">
        <v>16628952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16628967</v>
      </c>
      <c r="C6">
        <v>16628950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236</v>
      </c>
      <c r="J6" t="s">
        <v>237</v>
      </c>
      <c r="K6" t="s">
        <v>238</v>
      </c>
      <c r="L6">
        <v>1368</v>
      </c>
      <c r="N6">
        <v>1011</v>
      </c>
      <c r="O6" t="s">
        <v>239</v>
      </c>
      <c r="P6" t="s">
        <v>239</v>
      </c>
      <c r="Q6">
        <v>1</v>
      </c>
      <c r="X6">
        <v>0.66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27</v>
      </c>
      <c r="AG6">
        <v>0.82500000000000007</v>
      </c>
      <c r="AH6">
        <v>2</v>
      </c>
      <c r="AI6">
        <v>16628953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ROW(Source!A25)</f>
        <v>25</v>
      </c>
      <c r="B7">
        <v>16628968</v>
      </c>
      <c r="C7">
        <v>16628950</v>
      </c>
      <c r="D7">
        <v>15249073</v>
      </c>
      <c r="E7">
        <v>1</v>
      </c>
      <c r="F7">
        <v>1</v>
      </c>
      <c r="G7">
        <v>1</v>
      </c>
      <c r="H7">
        <v>2</v>
      </c>
      <c r="I7" t="s">
        <v>242</v>
      </c>
      <c r="J7" t="s">
        <v>243</v>
      </c>
      <c r="K7" t="s">
        <v>244</v>
      </c>
      <c r="L7">
        <v>1368</v>
      </c>
      <c r="N7">
        <v>1011</v>
      </c>
      <c r="O7" t="s">
        <v>239</v>
      </c>
      <c r="P7" t="s">
        <v>239</v>
      </c>
      <c r="Q7">
        <v>1</v>
      </c>
      <c r="X7">
        <v>3.57</v>
      </c>
      <c r="Y7">
        <v>0</v>
      </c>
      <c r="Z7">
        <v>65.709999999999994</v>
      </c>
      <c r="AA7">
        <v>11.6</v>
      </c>
      <c r="AB7">
        <v>0</v>
      </c>
      <c r="AC7">
        <v>0</v>
      </c>
      <c r="AD7">
        <v>1</v>
      </c>
      <c r="AE7">
        <v>0</v>
      </c>
      <c r="AF7" t="s">
        <v>27</v>
      </c>
      <c r="AG7">
        <v>4.4624999999999995</v>
      </c>
      <c r="AH7">
        <v>2</v>
      </c>
      <c r="AI7">
        <v>16628954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ROW(Source!A25)</f>
        <v>25</v>
      </c>
      <c r="B8">
        <v>16628969</v>
      </c>
      <c r="C8">
        <v>16628950</v>
      </c>
      <c r="D8">
        <v>15167551</v>
      </c>
      <c r="E8">
        <v>1</v>
      </c>
      <c r="F8">
        <v>1</v>
      </c>
      <c r="G8">
        <v>1</v>
      </c>
      <c r="H8">
        <v>3</v>
      </c>
      <c r="I8" t="s">
        <v>245</v>
      </c>
      <c r="J8" t="s">
        <v>246</v>
      </c>
      <c r="K8" t="s">
        <v>247</v>
      </c>
      <c r="L8">
        <v>1301</v>
      </c>
      <c r="N8">
        <v>1003</v>
      </c>
      <c r="O8" t="s">
        <v>45</v>
      </c>
      <c r="P8" t="s">
        <v>45</v>
      </c>
      <c r="Q8">
        <v>1</v>
      </c>
      <c r="X8">
        <v>253</v>
      </c>
      <c r="Y8">
        <v>6.38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6</v>
      </c>
      <c r="AG8">
        <v>253</v>
      </c>
      <c r="AH8">
        <v>2</v>
      </c>
      <c r="AI8">
        <v>16628955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ROW(Source!A25)</f>
        <v>25</v>
      </c>
      <c r="B9">
        <v>16628970</v>
      </c>
      <c r="C9">
        <v>16628950</v>
      </c>
      <c r="D9">
        <v>15167552</v>
      </c>
      <c r="E9">
        <v>1</v>
      </c>
      <c r="F9">
        <v>1</v>
      </c>
      <c r="G9">
        <v>1</v>
      </c>
      <c r="H9">
        <v>3</v>
      </c>
      <c r="I9" t="s">
        <v>248</v>
      </c>
      <c r="J9" t="s">
        <v>249</v>
      </c>
      <c r="K9" t="s">
        <v>250</v>
      </c>
      <c r="L9">
        <v>1301</v>
      </c>
      <c r="N9">
        <v>1003</v>
      </c>
      <c r="O9" t="s">
        <v>45</v>
      </c>
      <c r="P9" t="s">
        <v>45</v>
      </c>
      <c r="Q9">
        <v>1</v>
      </c>
      <c r="X9">
        <v>59</v>
      </c>
      <c r="Y9">
        <v>7.95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6</v>
      </c>
      <c r="AG9">
        <v>59</v>
      </c>
      <c r="AH9">
        <v>2</v>
      </c>
      <c r="AI9">
        <v>16628956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ROW(Source!A25)</f>
        <v>25</v>
      </c>
      <c r="B10">
        <v>16628971</v>
      </c>
      <c r="C10">
        <v>16628950</v>
      </c>
      <c r="D10">
        <v>15167640</v>
      </c>
      <c r="E10">
        <v>1</v>
      </c>
      <c r="F10">
        <v>1</v>
      </c>
      <c r="G10">
        <v>1</v>
      </c>
      <c r="H10">
        <v>3</v>
      </c>
      <c r="I10" t="s">
        <v>251</v>
      </c>
      <c r="J10" t="s">
        <v>252</v>
      </c>
      <c r="K10" t="s">
        <v>253</v>
      </c>
      <c r="L10">
        <v>1302</v>
      </c>
      <c r="N10">
        <v>1003</v>
      </c>
      <c r="O10" t="s">
        <v>86</v>
      </c>
      <c r="P10" t="s">
        <v>86</v>
      </c>
      <c r="Q10">
        <v>10</v>
      </c>
      <c r="X10">
        <v>15.9</v>
      </c>
      <c r="Y10">
        <v>64.099999999999994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6</v>
      </c>
      <c r="AG10">
        <v>15.9</v>
      </c>
      <c r="AH10">
        <v>2</v>
      </c>
      <c r="AI10">
        <v>16628957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ROW(Source!A25)</f>
        <v>25</v>
      </c>
      <c r="B11">
        <v>16628972</v>
      </c>
      <c r="C11">
        <v>16628950</v>
      </c>
      <c r="D11">
        <v>15170065</v>
      </c>
      <c r="E11">
        <v>1</v>
      </c>
      <c r="F11">
        <v>1</v>
      </c>
      <c r="G11">
        <v>1</v>
      </c>
      <c r="H11">
        <v>3</v>
      </c>
      <c r="I11" t="s">
        <v>254</v>
      </c>
      <c r="J11" t="s">
        <v>255</v>
      </c>
      <c r="K11" t="s">
        <v>256</v>
      </c>
      <c r="L11">
        <v>1358</v>
      </c>
      <c r="N11">
        <v>1010</v>
      </c>
      <c r="O11" t="s">
        <v>257</v>
      </c>
      <c r="P11" t="s">
        <v>257</v>
      </c>
      <c r="Q11">
        <v>10</v>
      </c>
      <c r="X11">
        <v>41.2</v>
      </c>
      <c r="Y11">
        <v>7.03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41.2</v>
      </c>
      <c r="AH11">
        <v>2</v>
      </c>
      <c r="AI11">
        <v>16628958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ROW(Source!A25)</f>
        <v>25</v>
      </c>
      <c r="B12">
        <v>16628973</v>
      </c>
      <c r="C12">
        <v>16628950</v>
      </c>
      <c r="D12">
        <v>15162466</v>
      </c>
      <c r="E12">
        <v>17</v>
      </c>
      <c r="F12">
        <v>1</v>
      </c>
      <c r="G12">
        <v>1</v>
      </c>
      <c r="H12">
        <v>3</v>
      </c>
      <c r="I12" t="s">
        <v>285</v>
      </c>
      <c r="J12" t="s">
        <v>6</v>
      </c>
      <c r="K12" t="s">
        <v>286</v>
      </c>
      <c r="L12">
        <v>1327</v>
      </c>
      <c r="N12">
        <v>1005</v>
      </c>
      <c r="O12" t="s">
        <v>35</v>
      </c>
      <c r="P12" t="s">
        <v>35</v>
      </c>
      <c r="Q12">
        <v>1</v>
      </c>
      <c r="X12">
        <v>100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6</v>
      </c>
      <c r="AG12">
        <v>100</v>
      </c>
      <c r="AH12">
        <v>3</v>
      </c>
      <c r="AI12">
        <v>-1</v>
      </c>
      <c r="AJ12" t="s">
        <v>6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ROW(Source!A25)</f>
        <v>25</v>
      </c>
      <c r="B13">
        <v>16628974</v>
      </c>
      <c r="C13">
        <v>16628950</v>
      </c>
      <c r="D13">
        <v>15197780</v>
      </c>
      <c r="E13">
        <v>1</v>
      </c>
      <c r="F13">
        <v>1</v>
      </c>
      <c r="G13">
        <v>1</v>
      </c>
      <c r="H13">
        <v>3</v>
      </c>
      <c r="I13" t="s">
        <v>258</v>
      </c>
      <c r="J13" t="s">
        <v>259</v>
      </c>
      <c r="K13" t="s">
        <v>260</v>
      </c>
      <c r="L13">
        <v>1355</v>
      </c>
      <c r="N13">
        <v>1010</v>
      </c>
      <c r="O13" t="s">
        <v>261</v>
      </c>
      <c r="P13" t="s">
        <v>261</v>
      </c>
      <c r="Q13">
        <v>100</v>
      </c>
      <c r="X13">
        <v>8</v>
      </c>
      <c r="Y13">
        <v>50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8</v>
      </c>
      <c r="AH13">
        <v>2</v>
      </c>
      <c r="AI13">
        <v>16628959</v>
      </c>
      <c r="AJ13">
        <v>12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ROW(Source!A25)</f>
        <v>25</v>
      </c>
      <c r="B14">
        <v>16628975</v>
      </c>
      <c r="C14">
        <v>16628950</v>
      </c>
      <c r="D14">
        <v>15204239</v>
      </c>
      <c r="E14">
        <v>1</v>
      </c>
      <c r="F14">
        <v>1</v>
      </c>
      <c r="G14">
        <v>1</v>
      </c>
      <c r="H14">
        <v>3</v>
      </c>
      <c r="I14" t="s">
        <v>262</v>
      </c>
      <c r="J14" t="s">
        <v>263</v>
      </c>
      <c r="K14" t="s">
        <v>264</v>
      </c>
      <c r="L14">
        <v>1354</v>
      </c>
      <c r="N14">
        <v>1010</v>
      </c>
      <c r="O14" t="s">
        <v>265</v>
      </c>
      <c r="P14" t="s">
        <v>265</v>
      </c>
      <c r="Q14">
        <v>1</v>
      </c>
      <c r="X14">
        <v>71</v>
      </c>
      <c r="Y14">
        <v>67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6</v>
      </c>
      <c r="AG14">
        <v>71</v>
      </c>
      <c r="AH14">
        <v>2</v>
      </c>
      <c r="AI14">
        <v>16628960</v>
      </c>
      <c r="AJ14">
        <v>13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ROW(Source!A27)</f>
        <v>27</v>
      </c>
      <c r="B15">
        <v>16629015</v>
      </c>
      <c r="C15">
        <v>16629006</v>
      </c>
      <c r="D15">
        <v>15430767</v>
      </c>
      <c r="E15">
        <v>1</v>
      </c>
      <c r="F15">
        <v>1</v>
      </c>
      <c r="G15">
        <v>1</v>
      </c>
      <c r="H15">
        <v>1</v>
      </c>
      <c r="I15" t="s">
        <v>266</v>
      </c>
      <c r="J15" t="s">
        <v>6</v>
      </c>
      <c r="K15" t="s">
        <v>267</v>
      </c>
      <c r="L15">
        <v>1191</v>
      </c>
      <c r="N15">
        <v>1013</v>
      </c>
      <c r="O15" t="s">
        <v>233</v>
      </c>
      <c r="P15" t="s">
        <v>233</v>
      </c>
      <c r="Q15">
        <v>1</v>
      </c>
      <c r="X15">
        <v>112.75</v>
      </c>
      <c r="Y15">
        <v>0</v>
      </c>
      <c r="Z15">
        <v>0</v>
      </c>
      <c r="AA15">
        <v>0</v>
      </c>
      <c r="AB15">
        <v>8.5299999999999994</v>
      </c>
      <c r="AC15">
        <v>0</v>
      </c>
      <c r="AD15">
        <v>1</v>
      </c>
      <c r="AE15">
        <v>1</v>
      </c>
      <c r="AF15" t="s">
        <v>28</v>
      </c>
      <c r="AG15">
        <v>129.66249999999999</v>
      </c>
      <c r="AH15">
        <v>2</v>
      </c>
      <c r="AI15">
        <v>16629007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ROW(Source!A27)</f>
        <v>27</v>
      </c>
      <c r="B16">
        <v>16629016</v>
      </c>
      <c r="C16">
        <v>16629006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234</v>
      </c>
      <c r="J16" t="s">
        <v>6</v>
      </c>
      <c r="K16" t="s">
        <v>235</v>
      </c>
      <c r="L16">
        <v>1191</v>
      </c>
      <c r="N16">
        <v>1013</v>
      </c>
      <c r="O16" t="s">
        <v>233</v>
      </c>
      <c r="P16" t="s">
        <v>233</v>
      </c>
      <c r="Q16">
        <v>1</v>
      </c>
      <c r="X16">
        <v>0.27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2</v>
      </c>
      <c r="AF16" t="s">
        <v>27</v>
      </c>
      <c r="AG16">
        <v>0.33750000000000002</v>
      </c>
      <c r="AH16">
        <v>2</v>
      </c>
      <c r="AI16">
        <v>16629008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ROW(Source!A27)</f>
        <v>27</v>
      </c>
      <c r="B17">
        <v>16629017</v>
      </c>
      <c r="C17">
        <v>16629006</v>
      </c>
      <c r="D17">
        <v>15247578</v>
      </c>
      <c r="E17">
        <v>1</v>
      </c>
      <c r="F17">
        <v>1</v>
      </c>
      <c r="G17">
        <v>1</v>
      </c>
      <c r="H17">
        <v>2</v>
      </c>
      <c r="I17" t="s">
        <v>268</v>
      </c>
      <c r="J17" t="s">
        <v>269</v>
      </c>
      <c r="K17" t="s">
        <v>270</v>
      </c>
      <c r="L17">
        <v>1368</v>
      </c>
      <c r="N17">
        <v>1011</v>
      </c>
      <c r="O17" t="s">
        <v>239</v>
      </c>
      <c r="P17" t="s">
        <v>239</v>
      </c>
      <c r="Q17">
        <v>1</v>
      </c>
      <c r="X17">
        <v>0.2</v>
      </c>
      <c r="Y17">
        <v>0</v>
      </c>
      <c r="Z17">
        <v>86.4</v>
      </c>
      <c r="AA17">
        <v>13.5</v>
      </c>
      <c r="AB17">
        <v>0</v>
      </c>
      <c r="AC17">
        <v>0</v>
      </c>
      <c r="AD17">
        <v>1</v>
      </c>
      <c r="AE17">
        <v>0</v>
      </c>
      <c r="AF17" t="s">
        <v>27</v>
      </c>
      <c r="AG17">
        <v>0.25</v>
      </c>
      <c r="AH17">
        <v>2</v>
      </c>
      <c r="AI17">
        <v>16629009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16629018</v>
      </c>
      <c r="C18">
        <v>16629006</v>
      </c>
      <c r="D18">
        <v>15249073</v>
      </c>
      <c r="E18">
        <v>1</v>
      </c>
      <c r="F18">
        <v>1</v>
      </c>
      <c r="G18">
        <v>1</v>
      </c>
      <c r="H18">
        <v>2</v>
      </c>
      <c r="I18" t="s">
        <v>242</v>
      </c>
      <c r="J18" t="s">
        <v>243</v>
      </c>
      <c r="K18" t="s">
        <v>244</v>
      </c>
      <c r="L18">
        <v>1368</v>
      </c>
      <c r="N18">
        <v>1011</v>
      </c>
      <c r="O18" t="s">
        <v>239</v>
      </c>
      <c r="P18" t="s">
        <v>239</v>
      </c>
      <c r="Q18">
        <v>1</v>
      </c>
      <c r="X18">
        <v>7.0000000000000007E-2</v>
      </c>
      <c r="Y18">
        <v>0</v>
      </c>
      <c r="Z18">
        <v>65.709999999999994</v>
      </c>
      <c r="AA18">
        <v>11.6</v>
      </c>
      <c r="AB18">
        <v>0</v>
      </c>
      <c r="AC18">
        <v>0</v>
      </c>
      <c r="AD18">
        <v>1</v>
      </c>
      <c r="AE18">
        <v>0</v>
      </c>
      <c r="AF18" t="s">
        <v>27</v>
      </c>
      <c r="AG18">
        <v>8.7500000000000008E-2</v>
      </c>
      <c r="AH18">
        <v>2</v>
      </c>
      <c r="AI18">
        <v>16629010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16629019</v>
      </c>
      <c r="C19">
        <v>16629006</v>
      </c>
      <c r="D19">
        <v>15170059</v>
      </c>
      <c r="E19">
        <v>1</v>
      </c>
      <c r="F19">
        <v>1</v>
      </c>
      <c r="G19">
        <v>1</v>
      </c>
      <c r="H19">
        <v>3</v>
      </c>
      <c r="I19" t="s">
        <v>271</v>
      </c>
      <c r="J19" t="s">
        <v>272</v>
      </c>
      <c r="K19" t="s">
        <v>273</v>
      </c>
      <c r="L19">
        <v>1348</v>
      </c>
      <c r="N19">
        <v>1009</v>
      </c>
      <c r="O19" t="s">
        <v>50</v>
      </c>
      <c r="P19" t="s">
        <v>50</v>
      </c>
      <c r="Q19">
        <v>1000</v>
      </c>
      <c r="X19">
        <v>4.0000000000000001E-3</v>
      </c>
      <c r="Y19">
        <v>8475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6</v>
      </c>
      <c r="AG19">
        <v>4.0000000000000001E-3</v>
      </c>
      <c r="AH19">
        <v>2</v>
      </c>
      <c r="AI19">
        <v>16629011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ROW(Source!A27)</f>
        <v>27</v>
      </c>
      <c r="B20">
        <v>16629020</v>
      </c>
      <c r="C20">
        <v>16629006</v>
      </c>
      <c r="D20">
        <v>15191140</v>
      </c>
      <c r="E20">
        <v>1</v>
      </c>
      <c r="F20">
        <v>1</v>
      </c>
      <c r="G20">
        <v>1</v>
      </c>
      <c r="H20">
        <v>3</v>
      </c>
      <c r="I20" t="s">
        <v>274</v>
      </c>
      <c r="J20" t="s">
        <v>275</v>
      </c>
      <c r="K20" t="s">
        <v>276</v>
      </c>
      <c r="L20">
        <v>1348</v>
      </c>
      <c r="N20">
        <v>1009</v>
      </c>
      <c r="O20" t="s">
        <v>50</v>
      </c>
      <c r="P20" t="s">
        <v>50</v>
      </c>
      <c r="Q20">
        <v>1000</v>
      </c>
      <c r="X20">
        <v>1.2E-2</v>
      </c>
      <c r="Y20">
        <v>8190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6</v>
      </c>
      <c r="AG20">
        <v>1.2E-2</v>
      </c>
      <c r="AH20">
        <v>2</v>
      </c>
      <c r="AI20">
        <v>16629012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ROW(Source!A27)</f>
        <v>27</v>
      </c>
      <c r="B21">
        <v>16629021</v>
      </c>
      <c r="C21">
        <v>16629006</v>
      </c>
      <c r="D21">
        <v>15191387</v>
      </c>
      <c r="E21">
        <v>1</v>
      </c>
      <c r="F21">
        <v>1</v>
      </c>
      <c r="G21">
        <v>1</v>
      </c>
      <c r="H21">
        <v>3</v>
      </c>
      <c r="I21" t="s">
        <v>48</v>
      </c>
      <c r="J21" t="s">
        <v>51</v>
      </c>
      <c r="K21" t="s">
        <v>49</v>
      </c>
      <c r="L21">
        <v>1348</v>
      </c>
      <c r="N21">
        <v>1009</v>
      </c>
      <c r="O21" t="s">
        <v>50</v>
      </c>
      <c r="P21" t="s">
        <v>50</v>
      </c>
      <c r="Q21">
        <v>1000</v>
      </c>
      <c r="X21">
        <v>0.78200000000000003</v>
      </c>
      <c r="Y21">
        <v>11200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6</v>
      </c>
      <c r="AG21">
        <v>0.78200000000000003</v>
      </c>
      <c r="AH21">
        <v>2</v>
      </c>
      <c r="AI21">
        <v>16629013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ROW(Source!A30)</f>
        <v>30</v>
      </c>
      <c r="B22">
        <v>16629036</v>
      </c>
      <c r="C22">
        <v>16629024</v>
      </c>
      <c r="D22">
        <v>15438286</v>
      </c>
      <c r="E22">
        <v>1</v>
      </c>
      <c r="F22">
        <v>1</v>
      </c>
      <c r="G22">
        <v>1</v>
      </c>
      <c r="H22">
        <v>1</v>
      </c>
      <c r="I22" t="s">
        <v>277</v>
      </c>
      <c r="J22" t="s">
        <v>6</v>
      </c>
      <c r="K22" t="s">
        <v>278</v>
      </c>
      <c r="L22">
        <v>1191</v>
      </c>
      <c r="N22">
        <v>1013</v>
      </c>
      <c r="O22" t="s">
        <v>233</v>
      </c>
      <c r="P22" t="s">
        <v>233</v>
      </c>
      <c r="Q22">
        <v>1</v>
      </c>
      <c r="X22">
        <v>166.47</v>
      </c>
      <c r="Y22">
        <v>0</v>
      </c>
      <c r="Z22">
        <v>0</v>
      </c>
      <c r="AA22">
        <v>0</v>
      </c>
      <c r="AB22">
        <v>9.18</v>
      </c>
      <c r="AC22">
        <v>0</v>
      </c>
      <c r="AD22">
        <v>1</v>
      </c>
      <c r="AE22">
        <v>1</v>
      </c>
      <c r="AF22" t="s">
        <v>28</v>
      </c>
      <c r="AG22">
        <v>191.44049999999999</v>
      </c>
      <c r="AH22">
        <v>2</v>
      </c>
      <c r="AI22">
        <v>16629025</v>
      </c>
      <c r="AJ22">
        <v>23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ROW(Source!A30)</f>
        <v>30</v>
      </c>
      <c r="B23">
        <v>16629037</v>
      </c>
      <c r="C23">
        <v>16629024</v>
      </c>
      <c r="D23">
        <v>15430395</v>
      </c>
      <c r="E23">
        <v>1</v>
      </c>
      <c r="F23">
        <v>1</v>
      </c>
      <c r="G23">
        <v>1</v>
      </c>
      <c r="H23">
        <v>1</v>
      </c>
      <c r="I23" t="s">
        <v>234</v>
      </c>
      <c r="J23" t="s">
        <v>6</v>
      </c>
      <c r="K23" t="s">
        <v>235</v>
      </c>
      <c r="L23">
        <v>1191</v>
      </c>
      <c r="N23">
        <v>1013</v>
      </c>
      <c r="O23" t="s">
        <v>233</v>
      </c>
      <c r="P23" t="s">
        <v>233</v>
      </c>
      <c r="Q23">
        <v>1</v>
      </c>
      <c r="X23">
        <v>0.57999999999999996</v>
      </c>
      <c r="Y23">
        <v>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2</v>
      </c>
      <c r="AF23" t="s">
        <v>27</v>
      </c>
      <c r="AG23">
        <v>0.72499999999999998</v>
      </c>
      <c r="AH23">
        <v>2</v>
      </c>
      <c r="AI23">
        <v>16629026</v>
      </c>
      <c r="AJ23">
        <v>24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ROW(Source!A30)</f>
        <v>30</v>
      </c>
      <c r="B24">
        <v>16629038</v>
      </c>
      <c r="C24">
        <v>16629024</v>
      </c>
      <c r="D24">
        <v>15247974</v>
      </c>
      <c r="E24">
        <v>1</v>
      </c>
      <c r="F24">
        <v>1</v>
      </c>
      <c r="G24">
        <v>1</v>
      </c>
      <c r="H24">
        <v>2</v>
      </c>
      <c r="I24" t="s">
        <v>236</v>
      </c>
      <c r="J24" t="s">
        <v>237</v>
      </c>
      <c r="K24" t="s">
        <v>238</v>
      </c>
      <c r="L24">
        <v>1368</v>
      </c>
      <c r="N24">
        <v>1011</v>
      </c>
      <c r="O24" t="s">
        <v>239</v>
      </c>
      <c r="P24" t="s">
        <v>239</v>
      </c>
      <c r="Q24">
        <v>1</v>
      </c>
      <c r="X24">
        <v>0.08</v>
      </c>
      <c r="Y24">
        <v>0</v>
      </c>
      <c r="Z24">
        <v>31.26</v>
      </c>
      <c r="AA24">
        <v>13.5</v>
      </c>
      <c r="AB24">
        <v>0</v>
      </c>
      <c r="AC24">
        <v>0</v>
      </c>
      <c r="AD24">
        <v>1</v>
      </c>
      <c r="AE24">
        <v>0</v>
      </c>
      <c r="AF24" t="s">
        <v>27</v>
      </c>
      <c r="AG24">
        <v>0.1</v>
      </c>
      <c r="AH24">
        <v>2</v>
      </c>
      <c r="AI24">
        <v>16629027</v>
      </c>
      <c r="AJ24">
        <v>25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ROW(Source!A30)</f>
        <v>30</v>
      </c>
      <c r="B25">
        <v>16629039</v>
      </c>
      <c r="C25">
        <v>16629024</v>
      </c>
      <c r="D25">
        <v>15249073</v>
      </c>
      <c r="E25">
        <v>1</v>
      </c>
      <c r="F25">
        <v>1</v>
      </c>
      <c r="G25">
        <v>1</v>
      </c>
      <c r="H25">
        <v>2</v>
      </c>
      <c r="I25" t="s">
        <v>242</v>
      </c>
      <c r="J25" t="s">
        <v>243</v>
      </c>
      <c r="K25" t="s">
        <v>244</v>
      </c>
      <c r="L25">
        <v>1368</v>
      </c>
      <c r="N25">
        <v>1011</v>
      </c>
      <c r="O25" t="s">
        <v>239</v>
      </c>
      <c r="P25" t="s">
        <v>239</v>
      </c>
      <c r="Q25">
        <v>1</v>
      </c>
      <c r="X25">
        <v>0.5</v>
      </c>
      <c r="Y25">
        <v>0</v>
      </c>
      <c r="Z25">
        <v>65.709999999999994</v>
      </c>
      <c r="AA25">
        <v>11.6</v>
      </c>
      <c r="AB25">
        <v>0</v>
      </c>
      <c r="AC25">
        <v>0</v>
      </c>
      <c r="AD25">
        <v>1</v>
      </c>
      <c r="AE25">
        <v>0</v>
      </c>
      <c r="AF25" t="s">
        <v>27</v>
      </c>
      <c r="AG25">
        <v>0.625</v>
      </c>
      <c r="AH25">
        <v>2</v>
      </c>
      <c r="AI25">
        <v>16629028</v>
      </c>
      <c r="AJ25">
        <v>26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ROW(Source!A30)</f>
        <v>30</v>
      </c>
      <c r="B26">
        <v>16629040</v>
      </c>
      <c r="C26">
        <v>16629024</v>
      </c>
      <c r="D26">
        <v>15162966</v>
      </c>
      <c r="E26">
        <v>17</v>
      </c>
      <c r="F26">
        <v>1</v>
      </c>
      <c r="G26">
        <v>1</v>
      </c>
      <c r="H26">
        <v>3</v>
      </c>
      <c r="I26" t="s">
        <v>287</v>
      </c>
      <c r="J26" t="s">
        <v>6</v>
      </c>
      <c r="K26" t="s">
        <v>288</v>
      </c>
      <c r="L26">
        <v>1327</v>
      </c>
      <c r="N26">
        <v>1005</v>
      </c>
      <c r="O26" t="s">
        <v>35</v>
      </c>
      <c r="P26" t="s">
        <v>35</v>
      </c>
      <c r="Q26">
        <v>1</v>
      </c>
      <c r="X26">
        <v>105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6</v>
      </c>
      <c r="AG26">
        <v>105</v>
      </c>
      <c r="AH26">
        <v>3</v>
      </c>
      <c r="AI26">
        <v>-1</v>
      </c>
      <c r="AJ26" t="s">
        <v>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ROW(Source!A30)</f>
        <v>30</v>
      </c>
      <c r="B27">
        <v>16629041</v>
      </c>
      <c r="C27">
        <v>16629024</v>
      </c>
      <c r="D27">
        <v>15171018</v>
      </c>
      <c r="E27">
        <v>1</v>
      </c>
      <c r="F27">
        <v>1</v>
      </c>
      <c r="G27">
        <v>1</v>
      </c>
      <c r="H27">
        <v>3</v>
      </c>
      <c r="I27" t="s">
        <v>279</v>
      </c>
      <c r="J27" t="s">
        <v>280</v>
      </c>
      <c r="K27" t="s">
        <v>281</v>
      </c>
      <c r="L27">
        <v>1346</v>
      </c>
      <c r="N27">
        <v>1009</v>
      </c>
      <c r="O27" t="s">
        <v>65</v>
      </c>
      <c r="P27" t="s">
        <v>65</v>
      </c>
      <c r="Q27">
        <v>1</v>
      </c>
      <c r="X27">
        <v>0.2</v>
      </c>
      <c r="Y27">
        <v>1.82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0.2</v>
      </c>
      <c r="AH27">
        <v>2</v>
      </c>
      <c r="AI27">
        <v>16629030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ROW(Source!A30)</f>
        <v>30</v>
      </c>
      <c r="B28">
        <v>16629042</v>
      </c>
      <c r="C28">
        <v>16629024</v>
      </c>
      <c r="D28">
        <v>15162257</v>
      </c>
      <c r="E28">
        <v>17</v>
      </c>
      <c r="F28">
        <v>1</v>
      </c>
      <c r="G28">
        <v>1</v>
      </c>
      <c r="H28">
        <v>3</v>
      </c>
      <c r="I28" t="s">
        <v>72</v>
      </c>
      <c r="J28" t="s">
        <v>6</v>
      </c>
      <c r="K28" t="s">
        <v>73</v>
      </c>
      <c r="L28">
        <v>1346</v>
      </c>
      <c r="N28">
        <v>1009</v>
      </c>
      <c r="O28" t="s">
        <v>65</v>
      </c>
      <c r="P28" t="s">
        <v>65</v>
      </c>
      <c r="Q28">
        <v>1</v>
      </c>
      <c r="X28">
        <v>30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 t="s">
        <v>6</v>
      </c>
      <c r="AG28">
        <v>30</v>
      </c>
      <c r="AH28">
        <v>2</v>
      </c>
      <c r="AI28">
        <v>16629031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ROW(Source!A30)</f>
        <v>30</v>
      </c>
      <c r="B29">
        <v>16629043</v>
      </c>
      <c r="C29">
        <v>16629024</v>
      </c>
      <c r="D29">
        <v>15162572</v>
      </c>
      <c r="E29">
        <v>17</v>
      </c>
      <c r="F29">
        <v>1</v>
      </c>
      <c r="G29">
        <v>1</v>
      </c>
      <c r="H29">
        <v>3</v>
      </c>
      <c r="I29" t="s">
        <v>289</v>
      </c>
      <c r="J29" t="s">
        <v>6</v>
      </c>
      <c r="K29" t="s">
        <v>290</v>
      </c>
      <c r="L29">
        <v>1348</v>
      </c>
      <c r="N29">
        <v>1009</v>
      </c>
      <c r="O29" t="s">
        <v>50</v>
      </c>
      <c r="P29" t="s">
        <v>50</v>
      </c>
      <c r="Q29">
        <v>1000</v>
      </c>
      <c r="X29">
        <v>8.8999999999999999E-3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 t="s">
        <v>6</v>
      </c>
      <c r="AG29">
        <v>8.8999999999999999E-3</v>
      </c>
      <c r="AH29">
        <v>3</v>
      </c>
      <c r="AI29">
        <v>-1</v>
      </c>
      <c r="AJ29" t="s">
        <v>6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ROW(Source!A35)</f>
        <v>35</v>
      </c>
      <c r="B30">
        <v>16629261</v>
      </c>
      <c r="C30">
        <v>16629260</v>
      </c>
      <c r="D30">
        <v>15430767</v>
      </c>
      <c r="E30">
        <v>1</v>
      </c>
      <c r="F30">
        <v>1</v>
      </c>
      <c r="G30">
        <v>1</v>
      </c>
      <c r="H30">
        <v>1</v>
      </c>
      <c r="I30" t="s">
        <v>266</v>
      </c>
      <c r="J30" t="s">
        <v>6</v>
      </c>
      <c r="K30" t="s">
        <v>267</v>
      </c>
      <c r="L30">
        <v>1191</v>
      </c>
      <c r="N30">
        <v>1013</v>
      </c>
      <c r="O30" t="s">
        <v>233</v>
      </c>
      <c r="P30" t="s">
        <v>233</v>
      </c>
      <c r="Q30">
        <v>1</v>
      </c>
      <c r="X30">
        <v>6.7</v>
      </c>
      <c r="Y30">
        <v>0</v>
      </c>
      <c r="Z30">
        <v>0</v>
      </c>
      <c r="AA30">
        <v>0</v>
      </c>
      <c r="AB30">
        <v>8.5299999999999994</v>
      </c>
      <c r="AC30">
        <v>0</v>
      </c>
      <c r="AD30">
        <v>1</v>
      </c>
      <c r="AE30">
        <v>1</v>
      </c>
      <c r="AF30" t="s">
        <v>28</v>
      </c>
      <c r="AG30">
        <v>7.7049999999999992</v>
      </c>
      <c r="AH30">
        <v>2</v>
      </c>
      <c r="AI30">
        <v>16629261</v>
      </c>
      <c r="AJ30">
        <v>32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ROW(Source!A35)</f>
        <v>35</v>
      </c>
      <c r="B31">
        <v>16629262</v>
      </c>
      <c r="C31">
        <v>16629260</v>
      </c>
      <c r="D31">
        <v>15162472</v>
      </c>
      <c r="E31">
        <v>17</v>
      </c>
      <c r="F31">
        <v>1</v>
      </c>
      <c r="G31">
        <v>1</v>
      </c>
      <c r="H31">
        <v>3</v>
      </c>
      <c r="I31" t="s">
        <v>80</v>
      </c>
      <c r="J31" t="s">
        <v>6</v>
      </c>
      <c r="K31" t="s">
        <v>81</v>
      </c>
      <c r="L31">
        <v>2233</v>
      </c>
      <c r="N31">
        <v>1013</v>
      </c>
      <c r="O31" t="s">
        <v>82</v>
      </c>
      <c r="P31" t="s">
        <v>82</v>
      </c>
      <c r="Q31">
        <v>1</v>
      </c>
      <c r="X31">
        <v>100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 t="s">
        <v>6</v>
      </c>
      <c r="AG31">
        <v>100</v>
      </c>
      <c r="AH31">
        <v>2</v>
      </c>
      <c r="AI31">
        <v>16629262</v>
      </c>
      <c r="AJ31">
        <v>33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ROW(Source!A35)</f>
        <v>35</v>
      </c>
      <c r="B32">
        <v>16629263</v>
      </c>
      <c r="C32">
        <v>16629260</v>
      </c>
      <c r="D32">
        <v>15202504</v>
      </c>
      <c r="E32">
        <v>1</v>
      </c>
      <c r="F32">
        <v>1</v>
      </c>
      <c r="G32">
        <v>1</v>
      </c>
      <c r="H32">
        <v>3</v>
      </c>
      <c r="I32" t="s">
        <v>282</v>
      </c>
      <c r="J32" t="s">
        <v>283</v>
      </c>
      <c r="K32" t="s">
        <v>284</v>
      </c>
      <c r="L32">
        <v>1346</v>
      </c>
      <c r="N32">
        <v>1009</v>
      </c>
      <c r="O32" t="s">
        <v>65</v>
      </c>
      <c r="P32" t="s">
        <v>65</v>
      </c>
      <c r="Q32">
        <v>1</v>
      </c>
      <c r="X32">
        <v>0.8</v>
      </c>
      <c r="Y32">
        <v>45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6</v>
      </c>
      <c r="AG32">
        <v>0.8</v>
      </c>
      <c r="AH32">
        <v>2</v>
      </c>
      <c r="AI32">
        <v>16629263</v>
      </c>
      <c r="AJ32">
        <v>35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ROW(Source!A38)</f>
        <v>38</v>
      </c>
      <c r="B33">
        <v>16629058</v>
      </c>
      <c r="C33">
        <v>16629050</v>
      </c>
      <c r="D33">
        <v>15430767</v>
      </c>
      <c r="E33">
        <v>1</v>
      </c>
      <c r="F33">
        <v>1</v>
      </c>
      <c r="G33">
        <v>1</v>
      </c>
      <c r="H33">
        <v>1</v>
      </c>
      <c r="I33" t="s">
        <v>266</v>
      </c>
      <c r="J33" t="s">
        <v>6</v>
      </c>
      <c r="K33" t="s">
        <v>267</v>
      </c>
      <c r="L33">
        <v>1191</v>
      </c>
      <c r="N33">
        <v>1013</v>
      </c>
      <c r="O33" t="s">
        <v>233</v>
      </c>
      <c r="P33" t="s">
        <v>233</v>
      </c>
      <c r="Q33">
        <v>1</v>
      </c>
      <c r="X33">
        <v>21.19</v>
      </c>
      <c r="Y33">
        <v>0</v>
      </c>
      <c r="Z33">
        <v>0</v>
      </c>
      <c r="AA33">
        <v>0</v>
      </c>
      <c r="AB33">
        <v>8.5299999999999994</v>
      </c>
      <c r="AC33">
        <v>0</v>
      </c>
      <c r="AD33">
        <v>1</v>
      </c>
      <c r="AE33">
        <v>1</v>
      </c>
      <c r="AF33" t="s">
        <v>28</v>
      </c>
      <c r="AG33">
        <v>24.368500000000001</v>
      </c>
      <c r="AH33">
        <v>2</v>
      </c>
      <c r="AI33">
        <v>16629051</v>
      </c>
      <c r="AJ33">
        <v>36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ROW(Source!A38)</f>
        <v>38</v>
      </c>
      <c r="B34">
        <v>16629059</v>
      </c>
      <c r="C34">
        <v>16629050</v>
      </c>
      <c r="D34">
        <v>15430395</v>
      </c>
      <c r="E34">
        <v>1</v>
      </c>
      <c r="F34">
        <v>1</v>
      </c>
      <c r="G34">
        <v>1</v>
      </c>
      <c r="H34">
        <v>1</v>
      </c>
      <c r="I34" t="s">
        <v>234</v>
      </c>
      <c r="J34" t="s">
        <v>6</v>
      </c>
      <c r="K34" t="s">
        <v>235</v>
      </c>
      <c r="L34">
        <v>1191</v>
      </c>
      <c r="N34">
        <v>1013</v>
      </c>
      <c r="O34" t="s">
        <v>233</v>
      </c>
      <c r="P34" t="s">
        <v>233</v>
      </c>
      <c r="Q34">
        <v>1</v>
      </c>
      <c r="X34">
        <v>0.19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2</v>
      </c>
      <c r="AF34" t="s">
        <v>27</v>
      </c>
      <c r="AG34">
        <v>0.23749999999999999</v>
      </c>
      <c r="AH34">
        <v>2</v>
      </c>
      <c r="AI34">
        <v>16629052</v>
      </c>
      <c r="AJ34">
        <v>37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ROW(Source!A38)</f>
        <v>38</v>
      </c>
      <c r="B35">
        <v>16629060</v>
      </c>
      <c r="C35">
        <v>16629050</v>
      </c>
      <c r="D35">
        <v>15247974</v>
      </c>
      <c r="E35">
        <v>1</v>
      </c>
      <c r="F35">
        <v>1</v>
      </c>
      <c r="G35">
        <v>1</v>
      </c>
      <c r="H35">
        <v>2</v>
      </c>
      <c r="I35" t="s">
        <v>236</v>
      </c>
      <c r="J35" t="s">
        <v>237</v>
      </c>
      <c r="K35" t="s">
        <v>238</v>
      </c>
      <c r="L35">
        <v>1368</v>
      </c>
      <c r="N35">
        <v>1011</v>
      </c>
      <c r="O35" t="s">
        <v>239</v>
      </c>
      <c r="P35" t="s">
        <v>239</v>
      </c>
      <c r="Q35">
        <v>1</v>
      </c>
      <c r="X35">
        <v>0.04</v>
      </c>
      <c r="Y35">
        <v>0</v>
      </c>
      <c r="Z35">
        <v>31.26</v>
      </c>
      <c r="AA35">
        <v>13.5</v>
      </c>
      <c r="AB35">
        <v>0</v>
      </c>
      <c r="AC35">
        <v>0</v>
      </c>
      <c r="AD35">
        <v>1</v>
      </c>
      <c r="AE35">
        <v>0</v>
      </c>
      <c r="AF35" t="s">
        <v>27</v>
      </c>
      <c r="AG35">
        <v>0.05</v>
      </c>
      <c r="AH35">
        <v>2</v>
      </c>
      <c r="AI35">
        <v>16629053</v>
      </c>
      <c r="AJ35">
        <v>38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ROW(Source!A38)</f>
        <v>38</v>
      </c>
      <c r="B36">
        <v>16629061</v>
      </c>
      <c r="C36">
        <v>16629050</v>
      </c>
      <c r="D36">
        <v>15249073</v>
      </c>
      <c r="E36">
        <v>1</v>
      </c>
      <c r="F36">
        <v>1</v>
      </c>
      <c r="G36">
        <v>1</v>
      </c>
      <c r="H36">
        <v>2</v>
      </c>
      <c r="I36" t="s">
        <v>242</v>
      </c>
      <c r="J36" t="s">
        <v>243</v>
      </c>
      <c r="K36" t="s">
        <v>244</v>
      </c>
      <c r="L36">
        <v>1368</v>
      </c>
      <c r="N36">
        <v>1011</v>
      </c>
      <c r="O36" t="s">
        <v>239</v>
      </c>
      <c r="P36" t="s">
        <v>239</v>
      </c>
      <c r="Q36">
        <v>1</v>
      </c>
      <c r="X36">
        <v>0.15</v>
      </c>
      <c r="Y36">
        <v>0</v>
      </c>
      <c r="Z36">
        <v>65.709999999999994</v>
      </c>
      <c r="AA36">
        <v>11.6</v>
      </c>
      <c r="AB36">
        <v>0</v>
      </c>
      <c r="AC36">
        <v>0</v>
      </c>
      <c r="AD36">
        <v>1</v>
      </c>
      <c r="AE36">
        <v>0</v>
      </c>
      <c r="AF36" t="s">
        <v>27</v>
      </c>
      <c r="AG36">
        <v>0.1875</v>
      </c>
      <c r="AH36">
        <v>2</v>
      </c>
      <c r="AI36">
        <v>16629054</v>
      </c>
      <c r="AJ36">
        <v>39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ROW(Source!A38)</f>
        <v>38</v>
      </c>
      <c r="B37">
        <v>16629062</v>
      </c>
      <c r="C37">
        <v>16629050</v>
      </c>
      <c r="D37">
        <v>15162469</v>
      </c>
      <c r="E37">
        <v>17</v>
      </c>
      <c r="F37">
        <v>1</v>
      </c>
      <c r="G37">
        <v>1</v>
      </c>
      <c r="H37">
        <v>3</v>
      </c>
      <c r="I37" t="s">
        <v>291</v>
      </c>
      <c r="J37" t="s">
        <v>6</v>
      </c>
      <c r="K37" t="s">
        <v>292</v>
      </c>
      <c r="L37">
        <v>1301</v>
      </c>
      <c r="N37">
        <v>1003</v>
      </c>
      <c r="O37" t="s">
        <v>45</v>
      </c>
      <c r="P37" t="s">
        <v>45</v>
      </c>
      <c r="Q37">
        <v>1</v>
      </c>
      <c r="X37">
        <v>0</v>
      </c>
      <c r="Y37">
        <v>0</v>
      </c>
      <c r="Z37">
        <v>0</v>
      </c>
      <c r="AA37">
        <v>0</v>
      </c>
      <c r="AB37">
        <v>0</v>
      </c>
      <c r="AC37">
        <v>1</v>
      </c>
      <c r="AD37">
        <v>0</v>
      </c>
      <c r="AE37">
        <v>0</v>
      </c>
      <c r="AF37" t="s">
        <v>6</v>
      </c>
      <c r="AG37">
        <v>0</v>
      </c>
      <c r="AH37">
        <v>3</v>
      </c>
      <c r="AI37">
        <v>-1</v>
      </c>
      <c r="AJ37" t="s">
        <v>6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ROW(Source!A38)</f>
        <v>38</v>
      </c>
      <c r="B38">
        <v>16629063</v>
      </c>
      <c r="C38">
        <v>16629050</v>
      </c>
      <c r="D38">
        <v>15197780</v>
      </c>
      <c r="E38">
        <v>1</v>
      </c>
      <c r="F38">
        <v>1</v>
      </c>
      <c r="G38">
        <v>1</v>
      </c>
      <c r="H38">
        <v>3</v>
      </c>
      <c r="I38" t="s">
        <v>258</v>
      </c>
      <c r="J38" t="s">
        <v>259</v>
      </c>
      <c r="K38" t="s">
        <v>260</v>
      </c>
      <c r="L38">
        <v>1355</v>
      </c>
      <c r="N38">
        <v>1010</v>
      </c>
      <c r="O38" t="s">
        <v>261</v>
      </c>
      <c r="P38" t="s">
        <v>261</v>
      </c>
      <c r="Q38">
        <v>100</v>
      </c>
      <c r="X38">
        <v>4</v>
      </c>
      <c r="Y38">
        <v>50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6</v>
      </c>
      <c r="AG38">
        <v>4</v>
      </c>
      <c r="AH38">
        <v>2</v>
      </c>
      <c r="AI38">
        <v>16629055</v>
      </c>
      <c r="AJ38">
        <v>40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ROW(Source!A38)</f>
        <v>38</v>
      </c>
      <c r="B39">
        <v>16629064</v>
      </c>
      <c r="C39">
        <v>16629050</v>
      </c>
      <c r="D39">
        <v>15204239</v>
      </c>
      <c r="E39">
        <v>1</v>
      </c>
      <c r="F39">
        <v>1</v>
      </c>
      <c r="G39">
        <v>1</v>
      </c>
      <c r="H39">
        <v>3</v>
      </c>
      <c r="I39" t="s">
        <v>262</v>
      </c>
      <c r="J39" t="s">
        <v>263</v>
      </c>
      <c r="K39" t="s">
        <v>264</v>
      </c>
      <c r="L39">
        <v>1354</v>
      </c>
      <c r="N39">
        <v>1010</v>
      </c>
      <c r="O39" t="s">
        <v>265</v>
      </c>
      <c r="P39" t="s">
        <v>265</v>
      </c>
      <c r="Q39">
        <v>1</v>
      </c>
      <c r="X39">
        <v>56.6</v>
      </c>
      <c r="Y39">
        <v>67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56.6</v>
      </c>
      <c r="AH39">
        <v>2</v>
      </c>
      <c r="AI39">
        <v>16629056</v>
      </c>
      <c r="AJ39">
        <v>41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STR45-200-12</dc:creator>
  <cp:lastModifiedBy>Администратор</cp:lastModifiedBy>
  <cp:lastPrinted>2018-07-05T06:44:45Z</cp:lastPrinted>
  <dcterms:created xsi:type="dcterms:W3CDTF">2018-04-17T07:08:20Z</dcterms:created>
  <dcterms:modified xsi:type="dcterms:W3CDTF">2018-09-18T08:16:38Z</dcterms:modified>
</cp:coreProperties>
</file>