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80" windowHeight="1170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ФЕР'!$28:$28</definedName>
    <definedName name="_xlnm.Print_Area" localSheetId="0">'Смета 12 гр. по ФЕР'!$A$1:$L$52</definedName>
  </definedNames>
  <calcPr calcId="145621"/>
</workbook>
</file>

<file path=xl/calcChain.xml><?xml version="1.0" encoding="utf-8"?>
<calcChain xmlns="http://schemas.openxmlformats.org/spreadsheetml/2006/main">
  <c r="I50" i="5" l="1"/>
  <c r="I47" i="5"/>
  <c r="D50" i="5"/>
  <c r="D47" i="5"/>
  <c r="C44" i="5"/>
  <c r="C43" i="5"/>
  <c r="C42" i="5"/>
  <c r="Y40" i="5"/>
  <c r="X40" i="5"/>
  <c r="W40" i="5"/>
  <c r="G39" i="5"/>
  <c r="E39" i="5"/>
  <c r="J38" i="5"/>
  <c r="I38" i="5"/>
  <c r="E38" i="5"/>
  <c r="J37" i="5"/>
  <c r="I37" i="5"/>
  <c r="E37" i="5"/>
  <c r="J36" i="5"/>
  <c r="G36" i="5"/>
  <c r="F36" i="5"/>
  <c r="F35" i="5"/>
  <c r="E35" i="5"/>
  <c r="D35" i="5"/>
  <c r="I35" i="5"/>
  <c r="C35" i="5"/>
  <c r="B35" i="5"/>
  <c r="A35" i="5"/>
  <c r="Y34" i="5"/>
  <c r="G21" i="5" s="1"/>
  <c r="X34" i="5"/>
  <c r="W34" i="5"/>
  <c r="G33" i="5"/>
  <c r="E33" i="5"/>
  <c r="J32" i="5"/>
  <c r="I32" i="5"/>
  <c r="E32" i="5"/>
  <c r="J31" i="5"/>
  <c r="I31" i="5"/>
  <c r="E31" i="5"/>
  <c r="J30" i="5"/>
  <c r="G30" i="5"/>
  <c r="F30" i="5"/>
  <c r="F29" i="5"/>
  <c r="E29" i="5"/>
  <c r="D29" i="5"/>
  <c r="I29" i="5"/>
  <c r="C29" i="5"/>
  <c r="B29" i="5"/>
  <c r="A29" i="5"/>
  <c r="B12" i="5"/>
  <c r="H6" i="5"/>
  <c r="B6" i="5"/>
  <c r="G20" i="5" l="1"/>
  <c r="G19" i="5"/>
  <c r="A1" i="4"/>
  <c r="A2" i="4"/>
  <c r="A3" i="4"/>
  <c r="A4" i="4"/>
  <c r="A5" i="4"/>
  <c r="A6" i="4"/>
  <c r="A7" i="4"/>
  <c r="A8" i="4"/>
  <c r="A9" i="4"/>
  <c r="A10" i="4"/>
  <c r="A1" i="3"/>
  <c r="CX1" i="3"/>
  <c r="CY1" i="3"/>
  <c r="CZ1" i="3"/>
  <c r="DB1" i="3" s="1"/>
  <c r="DA1" i="3"/>
  <c r="DC1" i="3"/>
  <c r="A2" i="3"/>
  <c r="CX2" i="3"/>
  <c r="CY2" i="3"/>
  <c r="CZ2" i="3"/>
  <c r="DB2" i="3" s="1"/>
  <c r="DA2" i="3"/>
  <c r="DC2" i="3"/>
  <c r="A3" i="3"/>
  <c r="CX3" i="3"/>
  <c r="CY3" i="3"/>
  <c r="CZ3" i="3"/>
  <c r="DA3" i="3"/>
  <c r="DB3" i="3"/>
  <c r="DC3" i="3"/>
  <c r="A4" i="3"/>
  <c r="CX4" i="3"/>
  <c r="CY4" i="3"/>
  <c r="CZ4" i="3"/>
  <c r="DB4" i="3" s="1"/>
  <c r="DA4" i="3"/>
  <c r="DC4" i="3"/>
  <c r="A5" i="3"/>
  <c r="CX5" i="3"/>
  <c r="CY5" i="3"/>
  <c r="CZ5" i="3"/>
  <c r="DB5" i="3" s="1"/>
  <c r="DA5" i="3"/>
  <c r="DC5" i="3"/>
  <c r="A6" i="3"/>
  <c r="CX6" i="3"/>
  <c r="CY6" i="3"/>
  <c r="CZ6" i="3"/>
  <c r="DB6" i="3" s="1"/>
  <c r="DA6" i="3"/>
  <c r="DC6" i="3"/>
  <c r="A7" i="3"/>
  <c r="CX7" i="3"/>
  <c r="CY7" i="3"/>
  <c r="CZ7" i="3"/>
  <c r="DA7" i="3"/>
  <c r="DB7" i="3"/>
  <c r="DC7" i="3"/>
  <c r="A8" i="3"/>
  <c r="CX8" i="3"/>
  <c r="CY8" i="3"/>
  <c r="CZ8" i="3"/>
  <c r="DB8" i="3" s="1"/>
  <c r="DA8" i="3"/>
  <c r="DC8" i="3"/>
  <c r="A9" i="3"/>
  <c r="CX9" i="3"/>
  <c r="CY9" i="3"/>
  <c r="CZ9" i="3"/>
  <c r="DB9" i="3" s="1"/>
  <c r="DA9" i="3"/>
  <c r="DC9" i="3"/>
  <c r="A10" i="3"/>
  <c r="CX10" i="3"/>
  <c r="CY10" i="3"/>
  <c r="CZ10" i="3"/>
  <c r="DA10" i="3"/>
  <c r="DB10" i="3"/>
  <c r="DC10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AC24" i="1"/>
  <c r="AD24" i="1"/>
  <c r="CR24" i="1" s="1"/>
  <c r="Q24" i="1" s="1"/>
  <c r="AE24" i="1"/>
  <c r="CS24" i="1" s="1"/>
  <c r="R24" i="1" s="1"/>
  <c r="AF24" i="1"/>
  <c r="AG24" i="1"/>
  <c r="AH24" i="1"/>
  <c r="CV24" i="1" s="1"/>
  <c r="U24" i="1" s="1"/>
  <c r="AI24" i="1"/>
  <c r="CW24" i="1" s="1"/>
  <c r="V24" i="1" s="1"/>
  <c r="AJ24" i="1"/>
  <c r="CQ24" i="1"/>
  <c r="P24" i="1" s="1"/>
  <c r="CT24" i="1"/>
  <c r="S24" i="1" s="1"/>
  <c r="K30" i="5" s="1"/>
  <c r="CU24" i="1"/>
  <c r="T24" i="1" s="1"/>
  <c r="CX24" i="1"/>
  <c r="W24" i="1" s="1"/>
  <c r="FR24" i="1"/>
  <c r="GL24" i="1"/>
  <c r="GN24" i="1"/>
  <c r="GO24" i="1"/>
  <c r="GV24" i="1"/>
  <c r="HC24" i="1" s="1"/>
  <c r="GX24" i="1" s="1"/>
  <c r="C25" i="1"/>
  <c r="D25" i="1"/>
  <c r="AC25" i="1"/>
  <c r="CQ25" i="1" s="1"/>
  <c r="P25" i="1" s="1"/>
  <c r="AE25" i="1"/>
  <c r="AD25" i="1" s="1"/>
  <c r="AF25" i="1"/>
  <c r="AG25" i="1"/>
  <c r="CU25" i="1" s="1"/>
  <c r="T25" i="1" s="1"/>
  <c r="AH25" i="1"/>
  <c r="AI25" i="1"/>
  <c r="AJ25" i="1"/>
  <c r="CX25" i="1" s="1"/>
  <c r="W25" i="1" s="1"/>
  <c r="CS25" i="1"/>
  <c r="R25" i="1" s="1"/>
  <c r="CV25" i="1"/>
  <c r="U25" i="1" s="1"/>
  <c r="CW25" i="1"/>
  <c r="V25" i="1" s="1"/>
  <c r="FR25" i="1"/>
  <c r="GL25" i="1"/>
  <c r="GN25" i="1"/>
  <c r="GO25" i="1"/>
  <c r="GV25" i="1"/>
  <c r="HC25" i="1" s="1"/>
  <c r="GX25" i="1" s="1"/>
  <c r="B27" i="1"/>
  <c r="B22" i="1" s="1"/>
  <c r="C27" i="1"/>
  <c r="C22" i="1" s="1"/>
  <c r="D27" i="1"/>
  <c r="D22" i="1" s="1"/>
  <c r="F27" i="1"/>
  <c r="F22" i="1" s="1"/>
  <c r="G27" i="1"/>
  <c r="BX27" i="1"/>
  <c r="AO27" i="1" s="1"/>
  <c r="BY27" i="1"/>
  <c r="BY22" i="1" s="1"/>
  <c r="BZ27" i="1"/>
  <c r="BZ22" i="1" s="1"/>
  <c r="CB27" i="1"/>
  <c r="AS27" i="1" s="1"/>
  <c r="CC27" i="1"/>
  <c r="CC22" i="1" s="1"/>
  <c r="CI27" i="1"/>
  <c r="AZ27" i="1" s="1"/>
  <c r="CK27" i="1"/>
  <c r="CK22" i="1" s="1"/>
  <c r="CL27" i="1"/>
  <c r="CL22" i="1" s="1"/>
  <c r="B59" i="1"/>
  <c r="B18" i="1" s="1"/>
  <c r="C59" i="1"/>
  <c r="C18" i="1" s="1"/>
  <c r="D59" i="1"/>
  <c r="D18" i="1" s="1"/>
  <c r="F59" i="1"/>
  <c r="F18" i="1" s="1"/>
  <c r="G59" i="1"/>
  <c r="G18" i="1" s="1"/>
  <c r="CJ27" i="1" l="1"/>
  <c r="AB24" i="1"/>
  <c r="G22" i="1"/>
  <c r="A41" i="5"/>
  <c r="L40" i="5"/>
  <c r="Q40" i="5" s="1"/>
  <c r="L39" i="5"/>
  <c r="CT25" i="1"/>
  <c r="S25" i="1" s="1"/>
  <c r="K36" i="5" s="1"/>
  <c r="U35" i="5"/>
  <c r="H38" i="5" s="1"/>
  <c r="H36" i="5"/>
  <c r="S35" i="5"/>
  <c r="H37" i="5" s="1"/>
  <c r="AJ27" i="1"/>
  <c r="L34" i="5"/>
  <c r="Q34" i="5" s="1"/>
  <c r="L41" i="5" s="1"/>
  <c r="L33" i="5"/>
  <c r="U29" i="5"/>
  <c r="H32" i="5" s="1"/>
  <c r="H30" i="5"/>
  <c r="S29" i="5"/>
  <c r="H31" i="5" s="1"/>
  <c r="AO22" i="1"/>
  <c r="F31" i="1"/>
  <c r="AO59" i="1"/>
  <c r="BA27" i="1"/>
  <c r="CJ22" i="1"/>
  <c r="AS22" i="1"/>
  <c r="AS59" i="1"/>
  <c r="F44" i="1"/>
  <c r="AJ22" i="1"/>
  <c r="W27" i="1"/>
  <c r="AG27" i="1"/>
  <c r="AI27" i="1"/>
  <c r="AE27" i="1"/>
  <c r="F38" i="1"/>
  <c r="AZ22" i="1"/>
  <c r="AZ59" i="1"/>
  <c r="CZ25" i="1"/>
  <c r="Y25" i="1" s="1"/>
  <c r="V35" i="5" s="1"/>
  <c r="K38" i="5" s="1"/>
  <c r="CY25" i="1"/>
  <c r="X25" i="1" s="1"/>
  <c r="T35" i="5" s="1"/>
  <c r="K37" i="5" s="1"/>
  <c r="CY24" i="1"/>
  <c r="X24" i="1" s="1"/>
  <c r="T29" i="5" s="1"/>
  <c r="K31" i="5" s="1"/>
  <c r="J34" i="5" s="1"/>
  <c r="P34" i="5" s="1"/>
  <c r="CZ24" i="1"/>
  <c r="Y24" i="1" s="1"/>
  <c r="V29" i="5" s="1"/>
  <c r="K32" i="5" s="1"/>
  <c r="AF27" i="1"/>
  <c r="AH27" i="1"/>
  <c r="CR25" i="1"/>
  <c r="Q25" i="1" s="1"/>
  <c r="AD27" i="1" s="1"/>
  <c r="AB25" i="1"/>
  <c r="CP24" i="1"/>
  <c r="O24" i="1" s="1"/>
  <c r="AC27" i="1"/>
  <c r="BC27" i="1"/>
  <c r="AQ27" i="1"/>
  <c r="CB22" i="1"/>
  <c r="BX22" i="1"/>
  <c r="BB27" i="1"/>
  <c r="AT27" i="1"/>
  <c r="AP27" i="1"/>
  <c r="CI22" i="1"/>
  <c r="CG27" i="1"/>
  <c r="J41" i="5" l="1"/>
  <c r="E16" i="2"/>
  <c r="I19" i="5"/>
  <c r="R30" i="5"/>
  <c r="Z34" i="5"/>
  <c r="G34" i="5"/>
  <c r="O34" i="5" s="1"/>
  <c r="G40" i="5"/>
  <c r="O40" i="5" s="1"/>
  <c r="R36" i="5"/>
  <c r="Z40" i="5"/>
  <c r="J40" i="5"/>
  <c r="P40" i="5" s="1"/>
  <c r="AD22" i="1"/>
  <c r="Q27" i="1"/>
  <c r="AP22" i="1"/>
  <c r="AP59" i="1"/>
  <c r="F36" i="1"/>
  <c r="GP24" i="1"/>
  <c r="GM24" i="1"/>
  <c r="AH22" i="1"/>
  <c r="U27" i="1"/>
  <c r="F51" i="1"/>
  <c r="W59" i="1"/>
  <c r="W22" i="1"/>
  <c r="AS18" i="1"/>
  <c r="F76" i="1"/>
  <c r="AO18" i="1"/>
  <c r="F63" i="1"/>
  <c r="AT22" i="1"/>
  <c r="AT59" i="1"/>
  <c r="F45" i="1"/>
  <c r="AQ22" i="1"/>
  <c r="AQ59" i="1"/>
  <c r="F37" i="1"/>
  <c r="AF22" i="1"/>
  <c r="S27" i="1"/>
  <c r="AE22" i="1"/>
  <c r="R27" i="1"/>
  <c r="CG22" i="1"/>
  <c r="AX27" i="1"/>
  <c r="BB22" i="1"/>
  <c r="BB59" i="1"/>
  <c r="F40" i="1"/>
  <c r="F43" i="1"/>
  <c r="BC22" i="1"/>
  <c r="BC59" i="1"/>
  <c r="AL27" i="1"/>
  <c r="AZ18" i="1"/>
  <c r="F70" i="1"/>
  <c r="AI22" i="1"/>
  <c r="V27" i="1"/>
  <c r="CP25" i="1"/>
  <c r="O25" i="1" s="1"/>
  <c r="AC22" i="1"/>
  <c r="P27" i="1"/>
  <c r="CF27" i="1"/>
  <c r="CH27" i="1"/>
  <c r="CE27" i="1"/>
  <c r="AK27" i="1"/>
  <c r="AG22" i="1"/>
  <c r="T27" i="1"/>
  <c r="E18" i="2"/>
  <c r="BA22" i="1"/>
  <c r="F47" i="1"/>
  <c r="BA59" i="1"/>
  <c r="F16" i="2" l="1"/>
  <c r="F18" i="2" s="1"/>
  <c r="I20" i="5"/>
  <c r="G16" i="2"/>
  <c r="G18" i="2" s="1"/>
  <c r="I21" i="5"/>
  <c r="G22" i="5"/>
  <c r="G41" i="5"/>
  <c r="G18" i="5"/>
  <c r="G24" i="5"/>
  <c r="F30" i="1"/>
  <c r="P59" i="1"/>
  <c r="P22" i="1"/>
  <c r="AQ18" i="1"/>
  <c r="F69" i="1"/>
  <c r="U22" i="1"/>
  <c r="F49" i="1"/>
  <c r="U59" i="1"/>
  <c r="F48" i="1"/>
  <c r="T59" i="1"/>
  <c r="T22" i="1"/>
  <c r="GP25" i="1"/>
  <c r="GM25" i="1"/>
  <c r="CA27" i="1" s="1"/>
  <c r="F42" i="1"/>
  <c r="S59" i="1"/>
  <c r="S22" i="1"/>
  <c r="AW27" i="1"/>
  <c r="CF22" i="1"/>
  <c r="F50" i="1"/>
  <c r="V22" i="1"/>
  <c r="V59" i="1"/>
  <c r="AL22" i="1"/>
  <c r="Y27" i="1"/>
  <c r="F83" i="1"/>
  <c r="W18" i="1"/>
  <c r="AB27" i="1"/>
  <c r="AP18" i="1"/>
  <c r="F68" i="1"/>
  <c r="F75" i="1"/>
  <c r="BC18" i="1"/>
  <c r="BB18" i="1"/>
  <c r="F72" i="1"/>
  <c r="AT18" i="1"/>
  <c r="F77" i="1"/>
  <c r="CD27" i="1"/>
  <c r="Q22" i="1"/>
  <c r="F39" i="1"/>
  <c r="Q59" i="1"/>
  <c r="AK22" i="1"/>
  <c r="X27" i="1"/>
  <c r="R22" i="1"/>
  <c r="R59" i="1"/>
  <c r="F41" i="1"/>
  <c r="BA18" i="1"/>
  <c r="F79" i="1"/>
  <c r="AV27" i="1"/>
  <c r="CE22" i="1"/>
  <c r="CH22" i="1"/>
  <c r="AY27" i="1"/>
  <c r="F34" i="1"/>
  <c r="AX22" i="1"/>
  <c r="AX59" i="1"/>
  <c r="I23" i="5" l="1"/>
  <c r="G23" i="5" s="1"/>
  <c r="J16" i="2"/>
  <c r="J18" i="2" s="1"/>
  <c r="I24" i="5"/>
  <c r="AR27" i="1"/>
  <c r="CA22" i="1"/>
  <c r="F35" i="1"/>
  <c r="AY22" i="1"/>
  <c r="AY59" i="1"/>
  <c r="AX18" i="1"/>
  <c r="F66" i="1"/>
  <c r="F52" i="1"/>
  <c r="X59" i="1"/>
  <c r="X22" i="1"/>
  <c r="CD22" i="1"/>
  <c r="AU27" i="1"/>
  <c r="Y22" i="1"/>
  <c r="F53" i="1"/>
  <c r="Y59" i="1"/>
  <c r="F74" i="1"/>
  <c r="S18" i="1"/>
  <c r="AB22" i="1"/>
  <c r="O27" i="1"/>
  <c r="T18" i="1"/>
  <c r="F80" i="1"/>
  <c r="V18" i="1"/>
  <c r="F82" i="1"/>
  <c r="AW22" i="1"/>
  <c r="AW59" i="1"/>
  <c r="F33" i="1"/>
  <c r="P18" i="1"/>
  <c r="F62" i="1"/>
  <c r="F32" i="1"/>
  <c r="AV22" i="1"/>
  <c r="AV59" i="1"/>
  <c r="R18" i="1"/>
  <c r="F73" i="1"/>
  <c r="Q18" i="1"/>
  <c r="F71" i="1"/>
  <c r="U18" i="1"/>
  <c r="F81" i="1"/>
  <c r="O59" i="1" l="1"/>
  <c r="O22" i="1"/>
  <c r="F29" i="1"/>
  <c r="AW18" i="1"/>
  <c r="F65" i="1"/>
  <c r="F67" i="1"/>
  <c r="AY18" i="1"/>
  <c r="F46" i="1"/>
  <c r="AU22" i="1"/>
  <c r="AU59" i="1"/>
  <c r="AV18" i="1"/>
  <c r="F64" i="1"/>
  <c r="Y18" i="1"/>
  <c r="F85" i="1"/>
  <c r="X18" i="1"/>
  <c r="F84" i="1"/>
  <c r="F54" i="1"/>
  <c r="F55" i="1" s="1"/>
  <c r="J42" i="5" s="1"/>
  <c r="AR22" i="1"/>
  <c r="AR59" i="1"/>
  <c r="H16" i="2" l="1"/>
  <c r="I16" i="2" s="1"/>
  <c r="I18" i="2" s="1"/>
  <c r="I22" i="5"/>
  <c r="AR18" i="1"/>
  <c r="F86" i="1"/>
  <c r="F78" i="1"/>
  <c r="AU18" i="1"/>
  <c r="F56" i="1"/>
  <c r="J43" i="5" s="1"/>
  <c r="O18" i="1"/>
  <c r="F61" i="1"/>
  <c r="H18" i="2"/>
  <c r="F57" i="1" l="1"/>
  <c r="J44" i="5" l="1"/>
  <c r="I18" i="5"/>
</calcChain>
</file>

<file path=xl/sharedStrings.xml><?xml version="1.0" encoding="utf-8"?>
<sst xmlns="http://schemas.openxmlformats.org/spreadsheetml/2006/main" count="781" uniqueCount="197">
  <si>
    <t>Smeta.RU  (495) 974-1589</t>
  </si>
  <si>
    <t>_PS_</t>
  </si>
  <si>
    <t>Smeta.RU</t>
  </si>
  <si>
    <t/>
  </si>
  <si>
    <t>Новый объект</t>
  </si>
  <si>
    <t>Пусконаладка  Пегов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</si>
  <si>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</si>
  <si>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</si>
  <si>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</si>
  <si>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</si>
  <si>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</si>
  <si>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</si>
  <si>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</si>
  <si>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п02-01-001-09</t>
  </si>
  <si>
    <t>Автоматизированная система управления I категории технической сложности с количеством каналов (Кобщ) 80</t>
  </si>
  <si>
    <t>система</t>
  </si>
  <si>
    <t>ФЕРп-2001, п02-01-001-09, приказ Минстроя России №1039/пр от 30.12.2016г.</t>
  </si>
  <si>
    <t>Пусконаладочные работы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</si>
  <si>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</si>
  <si>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</si>
  <si>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*0,85</t>
  </si>
  <si>
    <t>*0,8</t>
  </si>
  <si>
    <t>2</t>
  </si>
  <si>
    <t>п02-01-001-10</t>
  </si>
  <si>
    <t>Автоматизированная система управления I категории технической сложности с количеством каналов (Кобщ) за каждый канал свыше 80 до 159 добавлять к расценке 02-01-001-09</t>
  </si>
  <si>
    <t>канал</t>
  </si>
  <si>
    <t>ФЕРп-2001, п02-01-001-10,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</si>
  <si>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</si>
  <si>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</si>
  <si>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</si>
  <si>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</si>
  <si>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</si>
  <si>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</si>
  <si>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</si>
  <si>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</si>
  <si>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</si>
  <si>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</si>
  <si>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</si>
  <si>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</si>
  <si>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</si>
  <si>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</si>
  <si>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</si>
  <si>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</si>
  <si>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</si>
  <si>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</si>
  <si>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</si>
  <si>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</si>
  <si>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</si>
  <si>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</si>
  <si>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</si>
  <si>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</si>
  <si>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</si>
  <si>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</si>
  <si>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</si>
  <si>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</si>
  <si>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</si>
  <si>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</si>
  <si>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</si>
  <si>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</si>
  <si>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</si>
  <si>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</si>
  <si>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</si>
  <si>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</si>
  <si>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</si>
  <si>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</si>
  <si>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</si>
  <si>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</si>
  <si>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</si>
  <si>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</si>
  <si>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</si>
  <si>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</si>
  <si>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</si>
  <si>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</si>
  <si>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</si>
  <si>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</si>
  <si>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</si>
  <si>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</si>
  <si>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</si>
  <si>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</si>
  <si>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</si>
  <si>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</si>
  <si>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</si>
  <si>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</si>
  <si>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</si>
  <si>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</si>
  <si>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</si>
  <si>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</si>
  <si>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</si>
  <si>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</si>
  <si>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</si>
  <si>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</si>
  <si>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</si>
  <si>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</si>
  <si>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</si>
  <si>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</si>
  <si>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</si>
  <si>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</si>
  <si>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</si>
  <si>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</si>
  <si>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</si>
  <si>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</si>
  <si>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</si>
  <si>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</si>
  <si>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</si>
  <si>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</si>
  <si>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</si>
  <si>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</si>
  <si>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</si>
  <si>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</si>
  <si>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</si>
  <si>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</si>
  <si>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</si>
  <si>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</si>
  <si>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</si>
  <si>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</si>
  <si>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</si>
  <si>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</si>
  <si>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</si>
  <si>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</si>
  <si>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</si>
  <si>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</si>
  <si>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</si>
  <si>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</si>
  <si>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</si>
  <si>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</si>
  <si>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</si>
  <si>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</si>
  <si>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</si>
  <si>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</si>
  <si>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</si>
  <si>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</si>
  <si>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</si>
  <si>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</si>
  <si>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</si>
  <si>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</si>
  <si>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</si>
  <si>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</si>
  <si>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</si>
  <si>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</si>
  <si>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</si>
  <si>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</si>
  <si>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</si>
  <si>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</si>
  <si>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</si>
  <si>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</si>
  <si>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</si>
  <si>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</si>
  <si>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</si>
  <si>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2-300-10</t>
  </si>
  <si>
    <t>Техник по наладке и испытаниям, категория I</t>
  </si>
  <si>
    <t>чел.-ч.</t>
  </si>
  <si>
    <t>3-100</t>
  </si>
  <si>
    <t>Ведущий инженер</t>
  </si>
  <si>
    <t>3-100-10</t>
  </si>
  <si>
    <t>Инженер I категории</t>
  </si>
  <si>
    <t>3-100-20</t>
  </si>
  <si>
    <t>Инженер II категории</t>
  </si>
  <si>
    <t>3-100-30</t>
  </si>
  <si>
    <t>Инженер III категории</t>
  </si>
  <si>
    <t>"УТВЕРЖДАЮ"</t>
  </si>
  <si>
    <t>"_____"________________ 2018 г.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</si>
  <si>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</si>
  <si>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</si>
  <si>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</si>
  <si>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</si>
  <si>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</si>
  <si>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</si>
  <si>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</si>
  <si>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</si>
  <si>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</si>
  <si>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</si>
  <si>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</si>
  <si>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</si>
  <si>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</si>
  <si>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</si>
  <si>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</si>
  <si>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</si>
  <si>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</si>
  <si>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</si>
  <si>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</si>
  <si>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</si>
  <si>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</si>
  <si>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</si>
  <si>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</si>
  <si>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III квартал 2018 года</t>
  </si>
  <si>
    <t>Зарплата</t>
  </si>
  <si>
    <t>НР от ФОТ</t>
  </si>
  <si>
    <t>%</t>
  </si>
  <si>
    <t>СП от ФОТ</t>
  </si>
  <si>
    <t>Затраты труда</t>
  </si>
  <si>
    <t>чел-ч</t>
  </si>
  <si>
    <t xml:space="preserve">   </t>
  </si>
  <si>
    <t xml:space="preserve">Составил  </t>
  </si>
  <si>
    <t>[должность,подпись(инициалы,фамилия)]</t>
  </si>
  <si>
    <t xml:space="preserve">Проверил  </t>
  </si>
  <si>
    <t xml:space="preserve">Расчёт стоимости </t>
  </si>
  <si>
    <t>на выполнение работ по техническому обслуживанию и эксплуатации автоматической пожарной сигнализации и речевого оповещения, а также проверка (давления, исправности) сети внутреннего противопожарного водопровода по нормам расхода воды на нужды пожаротушения НИЯУ МИФИ учебно-медицинского корпуса (профилактория) по адресу: г. Москва, ул. Москворечье, д.6; ясли/сада по адресу: г. Москва, ул. Москворечье, д.15; общежитий по адресам: г. Москва, ул. Кошкина, д.11, к.1; г. Москва, ул. Москворечье, д.2, к.1,2; г. Москва, ул. Москворечье, д.19, к.3,4; г. Москва, Пролетарский проспект, д.8, к.2; г. Москва, ул. Шкулева, д. 27, стр. 2; Лицея №1511 по адресу: г. Москва, Пролетарский проспект д.6,к.3; Лицея №1523 по адресу: г. Москва, Кленовый бульвар,  д. 21; здание учебного корпуса НИЯУ МИФИ по адресу:г. Москва, Холодильный пер.,д.7,стр.1,2,3; здание учебного корпуса НИЯУ МИФИ по адресу: г. Москва, Каширское ш., д. 64.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</si>
</sst>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#,##0.00;[Red]\-\ #,##0.00"/>
    <numFmt numFmtId="166" formatCode="#,##0.00####;[Red]\-\ #,##0.00####"/>
    <numFmt numFmtId="167" formatCode="#,##0;[Red]\-\ #,##0"/>
    <numFmt numFmtId="168" formatCode="_-* #,##0_р_._-;\-* #,##0_р_._-;_-* &quot;-&quot;??_р_._-;_-@_-"/>
  </numFmts>
  <fonts count="19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6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1" fillId="0" borderId="0" xfId="0" applyFont="1"/>
    <xf numFmtId="0" fontId="12" fillId="0" borderId="0" xfId="0" applyFont="1" applyAlignment="1">
      <alignment horizontal="right"/>
    </xf>
    <xf numFmtId="0" fontId="12" fillId="0" borderId="0" xfId="0" applyFont="1"/>
    <xf numFmtId="0" fontId="13" fillId="0" borderId="0" xfId="0" applyFont="1" applyAlignment="1"/>
    <xf numFmtId="0" fontId="12" fillId="0" borderId="0" xfId="0" applyFont="1" applyAlignment="1"/>
    <xf numFmtId="0" fontId="12" fillId="0" borderId="0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 applyBorder="1" applyAlignment="1">
      <alignment wrapText="1"/>
    </xf>
    <xf numFmtId="0" fontId="15" fillId="0" borderId="0" xfId="0" applyFont="1" applyAlignment="1">
      <alignment vertical="center" wrapText="1"/>
    </xf>
    <xf numFmtId="0" fontId="15" fillId="0" borderId="0" xfId="0" applyFont="1" applyBorder="1" applyAlignment="1">
      <alignment wrapText="1"/>
    </xf>
    <xf numFmtId="0" fontId="12" fillId="0" borderId="0" xfId="0" applyFont="1" applyAlignment="1">
      <alignment horizontal="center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167" fontId="0" fillId="0" borderId="0" xfId="0" applyNumberFormat="1"/>
    <xf numFmtId="0" fontId="12" fillId="0" borderId="2" xfId="0" applyFont="1" applyBorder="1"/>
    <xf numFmtId="165" fontId="0" fillId="0" borderId="0" xfId="0" applyNumberFormat="1"/>
    <xf numFmtId="0" fontId="12" fillId="0" borderId="0" xfId="0" applyFont="1" applyAlignment="1">
      <alignment vertical="center"/>
    </xf>
    <xf numFmtId="0" fontId="15" fillId="0" borderId="0" xfId="0" applyFont="1"/>
    <xf numFmtId="0" fontId="12" fillId="0" borderId="0" xfId="0" applyFont="1" applyAlignment="1">
      <alignment horizontal="left" wrapText="1"/>
    </xf>
    <xf numFmtId="0" fontId="18" fillId="0" borderId="0" xfId="0" applyFont="1" applyAlignment="1">
      <alignment horizontal="right" wrapText="1"/>
    </xf>
    <xf numFmtId="166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right" wrapText="1"/>
    </xf>
    <xf numFmtId="167" fontId="12" fillId="0" borderId="0" xfId="0" applyNumberFormat="1" applyFont="1" applyAlignment="1">
      <alignment horizontal="right"/>
    </xf>
    <xf numFmtId="0" fontId="11" fillId="0" borderId="0" xfId="0" applyFont="1" applyAlignment="1">
      <alignment horizontal="right"/>
    </xf>
    <xf numFmtId="0" fontId="10" fillId="0" borderId="0" xfId="0" applyFont="1" applyAlignment="1">
      <alignment horizontal="right" wrapText="1"/>
    </xf>
    <xf numFmtId="0" fontId="18" fillId="0" borderId="2" xfId="0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166" fontId="12" fillId="0" borderId="2" xfId="0" applyNumberFormat="1" applyFont="1" applyBorder="1" applyAlignment="1">
      <alignment horizontal="right"/>
    </xf>
    <xf numFmtId="0" fontId="12" fillId="0" borderId="2" xfId="0" applyFont="1" applyBorder="1" applyAlignment="1">
      <alignment horizontal="right" wrapText="1"/>
    </xf>
    <xf numFmtId="167" fontId="12" fillId="0" borderId="2" xfId="0" applyNumberFormat="1" applyFont="1" applyBorder="1" applyAlignment="1">
      <alignment horizontal="right"/>
    </xf>
    <xf numFmtId="165" fontId="11" fillId="0" borderId="2" xfId="0" applyNumberFormat="1" applyFont="1" applyBorder="1" applyAlignment="1">
      <alignment horizontal="right"/>
    </xf>
    <xf numFmtId="165" fontId="17" fillId="0" borderId="0" xfId="0" applyNumberFormat="1" applyFont="1" applyAlignment="1">
      <alignment horizontal="right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 wrapText="1"/>
    </xf>
    <xf numFmtId="0" fontId="12" fillId="0" borderId="2" xfId="0" applyFont="1" applyBorder="1" applyAlignment="1">
      <alignment horizontal="left" vertical="top"/>
    </xf>
    <xf numFmtId="0" fontId="12" fillId="0" borderId="2" xfId="0" applyFont="1" applyBorder="1" applyAlignment="1">
      <alignment horizontal="left" vertical="top" wrapText="1"/>
    </xf>
    <xf numFmtId="166" fontId="10" fillId="0" borderId="0" xfId="0" applyNumberFormat="1" applyFont="1" applyAlignment="1">
      <alignment horizontal="left"/>
    </xf>
    <xf numFmtId="168" fontId="12" fillId="0" borderId="0" xfId="1" applyNumberFormat="1" applyFont="1" applyAlignment="1">
      <alignment horizontal="right"/>
    </xf>
    <xf numFmtId="1" fontId="0" fillId="0" borderId="0" xfId="0" applyNumberFormat="1"/>
    <xf numFmtId="0" fontId="12" fillId="0" borderId="0" xfId="0" applyFont="1" applyBorder="1" applyAlignment="1">
      <alignment horizontal="left" wrapText="1"/>
    </xf>
    <xf numFmtId="0" fontId="14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4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horizontal="center" wrapText="1"/>
    </xf>
    <xf numFmtId="0" fontId="12" fillId="0" borderId="0" xfId="0" applyFont="1" applyAlignment="1">
      <alignment horizontal="center" vertical="top"/>
    </xf>
    <xf numFmtId="0" fontId="15" fillId="0" borderId="0" xfId="0" applyFont="1" applyAlignment="1">
      <alignment horizontal="right"/>
    </xf>
    <xf numFmtId="165" fontId="12" fillId="0" borderId="0" xfId="0" applyNumberFormat="1" applyFont="1" applyAlignment="1">
      <alignment horizontal="right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2" xfId="0" applyFont="1" applyBorder="1" applyAlignment="1">
      <alignment horizontal="left"/>
    </xf>
    <xf numFmtId="0" fontId="15" fillId="0" borderId="0" xfId="0" applyFont="1" applyAlignment="1">
      <alignment horizontal="left" wrapText="1"/>
    </xf>
    <xf numFmtId="165" fontId="15" fillId="0" borderId="0" xfId="0" applyNumberFormat="1" applyFont="1" applyAlignment="1">
      <alignment horizontal="right"/>
    </xf>
    <xf numFmtId="167" fontId="15" fillId="0" borderId="0" xfId="0" applyNumberFormat="1" applyFont="1" applyAlignment="1">
      <alignment horizontal="right"/>
    </xf>
    <xf numFmtId="167" fontId="15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 vertical="top"/>
    </xf>
    <xf numFmtId="0" fontId="12" fillId="0" borderId="0" xfId="0" applyFont="1" applyAlignment="1">
      <alignment horizontal="left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51"/>
  <sheetViews>
    <sheetView tabSelected="1" topLeftCell="A14" zoomScaleNormal="100" workbookViewId="0">
      <selection activeCell="N14" sqref="N14"/>
    </sheetView>
  </sheetViews>
  <sheetFormatPr defaultRowHeight="12.75" x14ac:dyDescent="0.2"/>
  <cols>
    <col min="1" max="1" width="5.7109375" customWidth="1"/>
    <col min="2" max="2" width="14.4257812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6" width="0" hidden="1" customWidth="1"/>
  </cols>
  <sheetData>
    <row r="1" spans="1:12" x14ac:dyDescent="0.2">
      <c r="A1" s="9"/>
    </row>
    <row r="2" spans="1:12" ht="14.25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1"/>
      <c r="L2" s="11"/>
    </row>
    <row r="3" spans="1:12" ht="16.5" x14ac:dyDescent="0.25">
      <c r="A3" s="12"/>
      <c r="B3" s="50"/>
      <c r="C3" s="50"/>
      <c r="D3" s="50"/>
      <c r="E3" s="50"/>
      <c r="F3" s="11"/>
      <c r="G3" s="11"/>
      <c r="H3" s="50" t="s">
        <v>159</v>
      </c>
      <c r="I3" s="50"/>
      <c r="J3" s="50"/>
      <c r="K3" s="50"/>
      <c r="L3" s="50"/>
    </row>
    <row r="4" spans="1:12" ht="14.25" x14ac:dyDescent="0.2">
      <c r="A4" s="11"/>
      <c r="B4" s="51"/>
      <c r="C4" s="51"/>
      <c r="D4" s="51"/>
      <c r="E4" s="51"/>
      <c r="F4" s="11"/>
      <c r="G4" s="11"/>
      <c r="H4" s="51"/>
      <c r="I4" s="51"/>
      <c r="J4" s="51"/>
      <c r="K4" s="51"/>
      <c r="L4" s="51"/>
    </row>
    <row r="5" spans="1:12" ht="14.25" x14ac:dyDescent="0.2">
      <c r="A5" s="13"/>
      <c r="B5" s="13"/>
      <c r="C5" s="14"/>
      <c r="D5" s="14"/>
      <c r="E5" s="14"/>
      <c r="F5" s="11"/>
      <c r="G5" s="11"/>
      <c r="H5" s="15"/>
      <c r="I5" s="14"/>
      <c r="J5" s="14"/>
      <c r="K5" s="14"/>
      <c r="L5" s="15"/>
    </row>
    <row r="6" spans="1:12" ht="14.25" x14ac:dyDescent="0.2">
      <c r="A6" s="15"/>
      <c r="B6" s="51" t="str">
        <f>CONCATENATE("______________________ ", IF(Source!AL12&lt;&gt;"", Source!AL12, ""))</f>
        <v xml:space="preserve">______________________ </v>
      </c>
      <c r="C6" s="51"/>
      <c r="D6" s="51"/>
      <c r="E6" s="51"/>
      <c r="F6" s="11"/>
      <c r="G6" s="11"/>
      <c r="H6" s="51" t="str">
        <f>CONCATENATE("______________________ ", IF(Source!AH12&lt;&gt;"", Source!AH12, ""))</f>
        <v xml:space="preserve">______________________ </v>
      </c>
      <c r="I6" s="51"/>
      <c r="J6" s="51"/>
      <c r="K6" s="51"/>
      <c r="L6" s="51"/>
    </row>
    <row r="7" spans="1:12" ht="14.25" x14ac:dyDescent="0.2">
      <c r="A7" s="16"/>
      <c r="B7" s="49"/>
      <c r="C7" s="49"/>
      <c r="D7" s="49"/>
      <c r="E7" s="49"/>
      <c r="F7" s="11"/>
      <c r="G7" s="11"/>
      <c r="H7" s="49" t="s">
        <v>160</v>
      </c>
      <c r="I7" s="49"/>
      <c r="J7" s="49"/>
      <c r="K7" s="49"/>
      <c r="L7" s="49"/>
    </row>
    <row r="10" spans="1:12" ht="14.25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1:12" ht="15.75" x14ac:dyDescent="0.25">
      <c r="A11" s="17"/>
      <c r="B11" s="52" t="s">
        <v>195</v>
      </c>
      <c r="C11" s="52"/>
      <c r="D11" s="52"/>
      <c r="E11" s="52"/>
      <c r="F11" s="52"/>
      <c r="G11" s="52"/>
      <c r="H11" s="52"/>
      <c r="I11" s="52"/>
      <c r="J11" s="52"/>
      <c r="K11" s="52"/>
      <c r="L11" s="17"/>
    </row>
    <row r="12" spans="1:12" ht="18" hidden="1" x14ac:dyDescent="0.25">
      <c r="A12" s="17"/>
      <c r="B12" s="53" t="str">
        <f>IF(Source!G20&lt;&gt;"Новая локальная смета", Source!G20, "")</f>
        <v/>
      </c>
      <c r="C12" s="53"/>
      <c r="D12" s="53"/>
      <c r="E12" s="53"/>
      <c r="F12" s="53"/>
      <c r="G12" s="53"/>
      <c r="H12" s="53"/>
      <c r="I12" s="53"/>
      <c r="J12" s="53"/>
      <c r="K12" s="53"/>
      <c r="L12" s="17"/>
    </row>
    <row r="13" spans="1:12" ht="14.25" hidden="1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spans="1:12" ht="129.75" customHeight="1" x14ac:dyDescent="0.25">
      <c r="A14" s="11"/>
      <c r="B14" s="52" t="s">
        <v>196</v>
      </c>
      <c r="C14" s="53"/>
      <c r="D14" s="53"/>
      <c r="E14" s="53"/>
      <c r="F14" s="53"/>
      <c r="G14" s="53"/>
      <c r="H14" s="53"/>
      <c r="I14" s="53"/>
      <c r="J14" s="53"/>
      <c r="K14" s="53"/>
      <c r="L14" s="18"/>
    </row>
    <row r="15" spans="1:12" ht="14.25" x14ac:dyDescent="0.2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</row>
    <row r="16" spans="1:12" ht="14.25" x14ac:dyDescent="0.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</row>
    <row r="17" spans="1:22" ht="14.25" x14ac:dyDescent="0.2">
      <c r="A17" s="11"/>
      <c r="B17" s="11"/>
      <c r="C17" s="11"/>
      <c r="D17" s="11"/>
      <c r="E17" s="19"/>
      <c r="F17" s="19"/>
      <c r="G17" s="54" t="s">
        <v>161</v>
      </c>
      <c r="H17" s="54"/>
      <c r="I17" s="54" t="s">
        <v>162</v>
      </c>
      <c r="J17" s="54"/>
      <c r="K17" s="11"/>
      <c r="L17" s="11"/>
    </row>
    <row r="18" spans="1:22" ht="15" x14ac:dyDescent="0.25">
      <c r="A18" s="11"/>
      <c r="B18" s="11"/>
      <c r="C18" s="55" t="s">
        <v>163</v>
      </c>
      <c r="D18" s="55"/>
      <c r="E18" s="55"/>
      <c r="F18" s="55"/>
      <c r="G18" s="56">
        <f>SUM(O29:O41)/1000</f>
        <v>84.093000000000004</v>
      </c>
      <c r="H18" s="56"/>
      <c r="I18" s="56">
        <f>(Source!F57/1000)</f>
        <v>1755.12</v>
      </c>
      <c r="J18" s="56"/>
      <c r="K18" s="57" t="s">
        <v>164</v>
      </c>
      <c r="L18" s="57"/>
    </row>
    <row r="19" spans="1:22" ht="14.25" x14ac:dyDescent="0.2">
      <c r="A19" s="11"/>
      <c r="B19" s="11"/>
      <c r="C19" s="58" t="s">
        <v>165</v>
      </c>
      <c r="D19" s="58"/>
      <c r="E19" s="58"/>
      <c r="F19" s="58"/>
      <c r="G19" s="56">
        <f>SUM(W29:W41)/1000</f>
        <v>0</v>
      </c>
      <c r="H19" s="56"/>
      <c r="I19" s="56">
        <f>(Source!F44)/1000</f>
        <v>0</v>
      </c>
      <c r="J19" s="56"/>
      <c r="K19" s="57" t="s">
        <v>164</v>
      </c>
      <c r="L19" s="57"/>
    </row>
    <row r="20" spans="1:22" ht="14.25" x14ac:dyDescent="0.2">
      <c r="A20" s="11"/>
      <c r="B20" s="11"/>
      <c r="C20" s="58" t="s">
        <v>166</v>
      </c>
      <c r="D20" s="58"/>
      <c r="E20" s="58"/>
      <c r="F20" s="58"/>
      <c r="G20" s="56">
        <f>SUM(X29:X41)/1000</f>
        <v>0</v>
      </c>
      <c r="H20" s="56"/>
      <c r="I20" s="56">
        <f>(Source!F45)/1000</f>
        <v>0</v>
      </c>
      <c r="J20" s="56"/>
      <c r="K20" s="57" t="s">
        <v>164</v>
      </c>
      <c r="L20" s="57"/>
    </row>
    <row r="21" spans="1:22" ht="14.25" x14ac:dyDescent="0.2">
      <c r="A21" s="11"/>
      <c r="B21" s="11"/>
      <c r="C21" s="58" t="s">
        <v>167</v>
      </c>
      <c r="D21" s="58"/>
      <c r="E21" s="58"/>
      <c r="F21" s="58"/>
      <c r="G21" s="56">
        <f>SUM(Y29:Y41)/1000</f>
        <v>0</v>
      </c>
      <c r="H21" s="56"/>
      <c r="I21" s="56">
        <f>(Source!F36)/1000</f>
        <v>0</v>
      </c>
      <c r="J21" s="56"/>
      <c r="K21" s="57" t="s">
        <v>164</v>
      </c>
      <c r="L21" s="57"/>
    </row>
    <row r="22" spans="1:22" ht="14.25" x14ac:dyDescent="0.2">
      <c r="A22" s="11"/>
      <c r="B22" s="11"/>
      <c r="C22" s="58" t="s">
        <v>168</v>
      </c>
      <c r="D22" s="58"/>
      <c r="E22" s="58"/>
      <c r="F22" s="58"/>
      <c r="G22" s="56">
        <f>SUM(Z29:Z41)/1000</f>
        <v>84.093000000000004</v>
      </c>
      <c r="H22" s="56"/>
      <c r="I22" s="56">
        <f>(Source!F46+Source!F47)/1000</f>
        <v>1487.39</v>
      </c>
      <c r="J22" s="56"/>
      <c r="K22" s="57" t="s">
        <v>164</v>
      </c>
      <c r="L22" s="57"/>
    </row>
    <row r="23" spans="1:22" ht="15" x14ac:dyDescent="0.25">
      <c r="A23" s="11"/>
      <c r="B23" s="11"/>
      <c r="C23" s="55" t="s">
        <v>169</v>
      </c>
      <c r="D23" s="55"/>
      <c r="E23" s="55"/>
      <c r="F23" s="55"/>
      <c r="G23" s="56">
        <f>I23</f>
        <v>2892.9604559999998</v>
      </c>
      <c r="H23" s="56"/>
      <c r="I23" s="56">
        <f>(Source!F49+Source!F50)</f>
        <v>2892.9604559999998</v>
      </c>
      <c r="J23" s="56"/>
      <c r="K23" s="57" t="s">
        <v>170</v>
      </c>
      <c r="L23" s="57"/>
    </row>
    <row r="24" spans="1:22" ht="15" x14ac:dyDescent="0.25">
      <c r="A24" s="11"/>
      <c r="B24" s="11"/>
      <c r="C24" s="55" t="s">
        <v>171</v>
      </c>
      <c r="D24" s="55"/>
      <c r="E24" s="55"/>
      <c r="F24" s="55"/>
      <c r="G24" s="56">
        <f>SUM(R29:R41)/1000</f>
        <v>41.021000000000001</v>
      </c>
      <c r="H24" s="56"/>
      <c r="I24" s="56">
        <f>(Source!F42+ Source!F41)/1000</f>
        <v>795.39599999999996</v>
      </c>
      <c r="J24" s="56"/>
      <c r="K24" s="57" t="s">
        <v>164</v>
      </c>
      <c r="L24" s="57"/>
    </row>
    <row r="25" spans="1:22" ht="14.25" x14ac:dyDescent="0.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</row>
    <row r="26" spans="1:22" ht="14.25" x14ac:dyDescent="0.2">
      <c r="A26" s="59" t="s">
        <v>184</v>
      </c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</row>
    <row r="27" spans="1:22" ht="57" x14ac:dyDescent="0.2">
      <c r="A27" s="20" t="s">
        <v>172</v>
      </c>
      <c r="B27" s="20" t="s">
        <v>173</v>
      </c>
      <c r="C27" s="20" t="s">
        <v>174</v>
      </c>
      <c r="D27" s="20" t="s">
        <v>175</v>
      </c>
      <c r="E27" s="20" t="s">
        <v>176</v>
      </c>
      <c r="F27" s="20" t="s">
        <v>177</v>
      </c>
      <c r="G27" s="20" t="s">
        <v>178</v>
      </c>
      <c r="H27" s="20" t="s">
        <v>179</v>
      </c>
      <c r="I27" s="20" t="s">
        <v>180</v>
      </c>
      <c r="J27" s="20" t="s">
        <v>181</v>
      </c>
      <c r="K27" s="20" t="s">
        <v>182</v>
      </c>
      <c r="L27" s="20" t="s">
        <v>183</v>
      </c>
    </row>
    <row r="28" spans="1:22" ht="14.25" x14ac:dyDescent="0.2">
      <c r="A28" s="21">
        <v>1</v>
      </c>
      <c r="B28" s="21">
        <v>2</v>
      </c>
      <c r="C28" s="21">
        <v>3</v>
      </c>
      <c r="D28" s="21">
        <v>4</v>
      </c>
      <c r="E28" s="21">
        <v>5</v>
      </c>
      <c r="F28" s="21">
        <v>6</v>
      </c>
      <c r="G28" s="21">
        <v>7</v>
      </c>
      <c r="H28" s="21">
        <v>8</v>
      </c>
      <c r="I28" s="21">
        <v>9</v>
      </c>
      <c r="J28" s="21">
        <v>10</v>
      </c>
      <c r="K28" s="21">
        <v>11</v>
      </c>
      <c r="L28" s="22">
        <v>12</v>
      </c>
    </row>
    <row r="29" spans="1:22" ht="57" x14ac:dyDescent="0.2">
      <c r="A29" s="42" t="str">
        <f>Source!E24</f>
        <v>1</v>
      </c>
      <c r="B29" s="43" t="str">
        <f>Source!F24</f>
        <v>п02-01-001-09</v>
      </c>
      <c r="C29" s="43" t="str">
        <f>Source!G24</f>
        <v>Автоматизированная система управления I категории технической сложности с количеством каналов (Кобщ) 80</v>
      </c>
      <c r="D29" s="29" t="str">
        <f>Source!H24</f>
        <v>система</v>
      </c>
      <c r="E29" s="10">
        <f>Source!I24</f>
        <v>4</v>
      </c>
      <c r="F29" s="30">
        <f>Source!AL24+Source!AM24+Source!AO24</f>
        <v>6976.58</v>
      </c>
      <c r="G29" s="31"/>
      <c r="H29" s="32"/>
      <c r="I29" s="31" t="str">
        <f>Source!BO24</f>
        <v/>
      </c>
      <c r="J29" s="31"/>
      <c r="K29" s="32"/>
      <c r="L29" s="33"/>
      <c r="S29">
        <f>ROUND((Source!FX24/100)*((ROUND(Source!AF24*Source!I24, 0)+ROUND(Source!AE24*Source!I24, 0))), 0)</f>
        <v>18139</v>
      </c>
      <c r="T29">
        <f>Source!X24</f>
        <v>297607</v>
      </c>
      <c r="U29">
        <f>ROUND((Source!FY24/100)*((ROUND(Source!AF24*Source!I24, 0)+ROUND(Source!AE24*Source!I24, 0))), 0)</f>
        <v>11162</v>
      </c>
      <c r="V29">
        <f>Source!Y24</f>
        <v>173153</v>
      </c>
    </row>
    <row r="30" spans="1:22" ht="14.25" x14ac:dyDescent="0.2">
      <c r="A30" s="42"/>
      <c r="B30" s="43"/>
      <c r="C30" s="43" t="s">
        <v>185</v>
      </c>
      <c r="D30" s="29"/>
      <c r="E30" s="10"/>
      <c r="F30" s="30">
        <f>Source!AO24</f>
        <v>6976.58</v>
      </c>
      <c r="G30" s="31" t="str">
        <f>Source!DG24</f>
        <v/>
      </c>
      <c r="H30" s="32">
        <f>ROUND(Source!AF24*Source!I24, 0)</f>
        <v>27906</v>
      </c>
      <c r="I30" s="31"/>
      <c r="J30" s="31">
        <f>IF(Source!BA24&lt;&gt; 0, Source!BA24, 1)</f>
        <v>19.39</v>
      </c>
      <c r="K30" s="32">
        <f>Source!S24</f>
        <v>541104</v>
      </c>
      <c r="L30" s="33"/>
      <c r="R30">
        <f>H30</f>
        <v>27906</v>
      </c>
    </row>
    <row r="31" spans="1:22" ht="14.25" x14ac:dyDescent="0.2">
      <c r="A31" s="42"/>
      <c r="B31" s="43"/>
      <c r="C31" s="43" t="s">
        <v>186</v>
      </c>
      <c r="D31" s="29" t="s">
        <v>187</v>
      </c>
      <c r="E31" s="10">
        <f>Source!BZ24</f>
        <v>65</v>
      </c>
      <c r="F31" s="46"/>
      <c r="G31" s="31"/>
      <c r="H31" s="32">
        <f>SUM(S29:S33)</f>
        <v>18139</v>
      </c>
      <c r="I31" s="34" t="str">
        <f>CONCATENATE(Source!FX24, Source!FV24, "=")</f>
        <v>65*0,85=</v>
      </c>
      <c r="J31" s="28">
        <f>Source!AT24</f>
        <v>55</v>
      </c>
      <c r="K31" s="32">
        <f>SUM(T29:T33)</f>
        <v>297607</v>
      </c>
      <c r="L31" s="33"/>
    </row>
    <row r="32" spans="1:22" ht="14.25" x14ac:dyDescent="0.2">
      <c r="A32" s="42"/>
      <c r="B32" s="43"/>
      <c r="C32" s="43" t="s">
        <v>188</v>
      </c>
      <c r="D32" s="29" t="s">
        <v>187</v>
      </c>
      <c r="E32" s="10">
        <f>Source!CA24</f>
        <v>40</v>
      </c>
      <c r="F32" s="46"/>
      <c r="G32" s="31"/>
      <c r="H32" s="32">
        <f>SUM(U29:U33)</f>
        <v>11162</v>
      </c>
      <c r="I32" s="34" t="str">
        <f>CONCATENATE(Source!FY24, Source!FW24, "=")</f>
        <v>40*0,8=</v>
      </c>
      <c r="J32" s="28">
        <f>Source!AU24</f>
        <v>32</v>
      </c>
      <c r="K32" s="32">
        <f>SUM(V29:V33)</f>
        <v>173153</v>
      </c>
      <c r="L32" s="33"/>
    </row>
    <row r="33" spans="1:26" ht="14.25" x14ac:dyDescent="0.2">
      <c r="A33" s="44"/>
      <c r="B33" s="45"/>
      <c r="C33" s="45" t="s">
        <v>189</v>
      </c>
      <c r="D33" s="35" t="s">
        <v>190</v>
      </c>
      <c r="E33" s="36">
        <f>Source!AQ24</f>
        <v>492</v>
      </c>
      <c r="F33" s="37"/>
      <c r="G33" s="38" t="str">
        <f>Source!DI24</f>
        <v/>
      </c>
      <c r="H33" s="39"/>
      <c r="I33" s="38"/>
      <c r="J33" s="38"/>
      <c r="K33" s="39"/>
      <c r="L33" s="40">
        <f>Source!U24</f>
        <v>1968</v>
      </c>
    </row>
    <row r="34" spans="1:26" ht="15" x14ac:dyDescent="0.25">
      <c r="G34" s="63">
        <f>H30+H31+H32</f>
        <v>57207</v>
      </c>
      <c r="H34" s="63"/>
      <c r="J34" s="63">
        <f>K30+K31+K32</f>
        <v>1011864</v>
      </c>
      <c r="K34" s="63"/>
      <c r="L34" s="41">
        <f>Source!U24</f>
        <v>1968</v>
      </c>
      <c r="O34" s="23">
        <f>G34</f>
        <v>57207</v>
      </c>
      <c r="P34" s="23">
        <f>J34</f>
        <v>1011864</v>
      </c>
      <c r="Q34" s="25">
        <f>L34</f>
        <v>1968</v>
      </c>
      <c r="W34">
        <f>IF(Source!BI24&lt;=1,H30+H31+H32, 0)</f>
        <v>0</v>
      </c>
      <c r="X34">
        <f>IF(Source!BI24=2,H30+H31+H32, 0)</f>
        <v>0</v>
      </c>
      <c r="Y34">
        <f>IF(Source!BI24=3,H30+H31+H32, 0)</f>
        <v>0</v>
      </c>
      <c r="Z34">
        <f>IF(Source!BI24=4,H30+H31+H32, 0)</f>
        <v>57207</v>
      </c>
    </row>
    <row r="35" spans="1:26" ht="71.25" x14ac:dyDescent="0.2">
      <c r="A35" s="42" t="str">
        <f>Source!E25</f>
        <v>2</v>
      </c>
      <c r="B35" s="43" t="str">
        <f>Source!F25</f>
        <v>п02-01-001-10</v>
      </c>
      <c r="C35" s="43" t="str">
        <f>Source!G25</f>
        <v>Автоматизированная система управления I категории технической сложности с количеством каналов (Кобщ) за каждый канал свыше 80 до 159 добавлять к расценке 02-01-001-09</v>
      </c>
      <c r="D35" s="29" t="str">
        <f>Source!H25</f>
        <v>канал</v>
      </c>
      <c r="E35" s="47">
        <f>Source!I25</f>
        <v>157.30619999999999</v>
      </c>
      <c r="F35" s="30">
        <f>Source!AL25+Source!AM25+Source!AO25</f>
        <v>83.37</v>
      </c>
      <c r="G35" s="31"/>
      <c r="H35" s="32"/>
      <c r="I35" s="31" t="str">
        <f>Source!BO25</f>
        <v/>
      </c>
      <c r="J35" s="31"/>
      <c r="K35" s="32"/>
      <c r="L35" s="33"/>
      <c r="S35">
        <f>ROUND((Source!FX25/100)*((ROUND(Source!AF25*Source!I25, 0)+ROUND(Source!AE25*Source!I25, 0))), 0)</f>
        <v>8525</v>
      </c>
      <c r="T35">
        <f>Source!X25</f>
        <v>139861</v>
      </c>
      <c r="U35">
        <f>ROUND((Source!FY25/100)*((ROUND(Source!AF25*Source!I25, 0)+ROUND(Source!AE25*Source!I25, 0))), 0)</f>
        <v>5246</v>
      </c>
      <c r="V35">
        <f>Source!Y25</f>
        <v>81373</v>
      </c>
    </row>
    <row r="36" spans="1:26" ht="14.25" x14ac:dyDescent="0.2">
      <c r="A36" s="42"/>
      <c r="B36" s="43"/>
      <c r="C36" s="43" t="s">
        <v>185</v>
      </c>
      <c r="D36" s="29"/>
      <c r="E36" s="10"/>
      <c r="F36" s="30">
        <f>Source!AO25</f>
        <v>83.37</v>
      </c>
      <c r="G36" s="31" t="str">
        <f>Source!DG25</f>
        <v/>
      </c>
      <c r="H36" s="32">
        <f>ROUND(Source!AF25*Source!I25, 0)</f>
        <v>13115</v>
      </c>
      <c r="I36" s="31"/>
      <c r="J36" s="31">
        <f>IF(Source!BA25&lt;&gt; 0, Source!BA25, 1)</f>
        <v>19.39</v>
      </c>
      <c r="K36" s="32">
        <f>Source!S25</f>
        <v>254292</v>
      </c>
      <c r="L36" s="33"/>
      <c r="R36">
        <f>H36</f>
        <v>13115</v>
      </c>
    </row>
    <row r="37" spans="1:26" ht="14.25" x14ac:dyDescent="0.2">
      <c r="A37" s="42"/>
      <c r="B37" s="43"/>
      <c r="C37" s="43" t="s">
        <v>186</v>
      </c>
      <c r="D37" s="29" t="s">
        <v>187</v>
      </c>
      <c r="E37" s="10">
        <f>Source!BZ25</f>
        <v>65</v>
      </c>
      <c r="F37" s="46"/>
      <c r="G37" s="31"/>
      <c r="H37" s="32">
        <f>SUM(S35:S39)</f>
        <v>8525</v>
      </c>
      <c r="I37" s="34" t="str">
        <f>CONCATENATE(Source!FX25, Source!FV25, "=")</f>
        <v>65*0,85=</v>
      </c>
      <c r="J37" s="28">
        <f>Source!AT25</f>
        <v>55</v>
      </c>
      <c r="K37" s="32">
        <f>SUM(T35:T39)</f>
        <v>139861</v>
      </c>
      <c r="L37" s="33"/>
    </row>
    <row r="38" spans="1:26" ht="14.25" x14ac:dyDescent="0.2">
      <c r="A38" s="42"/>
      <c r="B38" s="43"/>
      <c r="C38" s="43" t="s">
        <v>188</v>
      </c>
      <c r="D38" s="29" t="s">
        <v>187</v>
      </c>
      <c r="E38" s="10">
        <f>Source!CA25</f>
        <v>40</v>
      </c>
      <c r="F38" s="46"/>
      <c r="G38" s="31"/>
      <c r="H38" s="32">
        <f>SUM(U35:U39)</f>
        <v>5246</v>
      </c>
      <c r="I38" s="34" t="str">
        <f>CONCATENATE(Source!FY25, Source!FW25, "=")</f>
        <v>40*0,8=</v>
      </c>
      <c r="J38" s="28">
        <f>Source!AU25</f>
        <v>32</v>
      </c>
      <c r="K38" s="32">
        <f>SUM(V35:V39)</f>
        <v>81373</v>
      </c>
      <c r="L38" s="33"/>
    </row>
    <row r="39" spans="1:26" ht="14.25" x14ac:dyDescent="0.2">
      <c r="A39" s="44"/>
      <c r="B39" s="45"/>
      <c r="C39" s="45" t="s">
        <v>189</v>
      </c>
      <c r="D39" s="35" t="s">
        <v>190</v>
      </c>
      <c r="E39" s="36">
        <f>Source!AQ25</f>
        <v>5.88</v>
      </c>
      <c r="F39" s="37"/>
      <c r="G39" s="38" t="str">
        <f>Source!DI25</f>
        <v/>
      </c>
      <c r="H39" s="39"/>
      <c r="I39" s="38"/>
      <c r="J39" s="38"/>
      <c r="K39" s="39"/>
      <c r="L39" s="40">
        <f>Source!U25</f>
        <v>924.96045599999991</v>
      </c>
    </row>
    <row r="40" spans="1:26" ht="15" x14ac:dyDescent="0.25">
      <c r="G40" s="63">
        <f>H36+H37+H38</f>
        <v>26886</v>
      </c>
      <c r="H40" s="63"/>
      <c r="J40" s="63">
        <f>K36+K37+K38</f>
        <v>475526</v>
      </c>
      <c r="K40" s="63"/>
      <c r="L40" s="41">
        <f>Source!U25</f>
        <v>924.96045599999991</v>
      </c>
      <c r="O40" s="23">
        <f>G40</f>
        <v>26886</v>
      </c>
      <c r="P40" s="23">
        <f>J40</f>
        <v>475526</v>
      </c>
      <c r="Q40" s="25">
        <f>L40</f>
        <v>924.96045599999991</v>
      </c>
      <c r="W40">
        <f>IF(Source!BI25&lt;=1,H36+H37+H38, 0)</f>
        <v>0</v>
      </c>
      <c r="X40">
        <f>IF(Source!BI25=2,H36+H37+H38, 0)</f>
        <v>0</v>
      </c>
      <c r="Y40">
        <f>IF(Source!BI25=3,H36+H37+H38, 0)</f>
        <v>0</v>
      </c>
      <c r="Z40">
        <f>IF(Source!BI25=4,H36+H37+H38, 0)</f>
        <v>26886</v>
      </c>
    </row>
    <row r="41" spans="1:26" ht="15" x14ac:dyDescent="0.25">
      <c r="A41" s="60" t="str">
        <f>CONCATENATE("Итого по расчёту стоимости : ",IF(Source!G27&lt;&gt;"Новая локальная смета", Source!G27, ""))</f>
        <v xml:space="preserve">Итого по расчёту стоимости : </v>
      </c>
      <c r="B41" s="60"/>
      <c r="C41" s="60"/>
      <c r="D41" s="60"/>
      <c r="E41" s="60"/>
      <c r="F41" s="60"/>
      <c r="G41" s="62">
        <f>SUM(O29:O40)</f>
        <v>84093</v>
      </c>
      <c r="H41" s="62"/>
      <c r="I41" s="27"/>
      <c r="J41" s="62">
        <f>SUM(P29:P40)</f>
        <v>1487390</v>
      </c>
      <c r="K41" s="62"/>
      <c r="L41" s="41">
        <f>SUM(Q29:Q40)</f>
        <v>2892.9604559999998</v>
      </c>
    </row>
    <row r="42" spans="1:26" ht="15" x14ac:dyDescent="0.25">
      <c r="C42" s="60" t="str">
        <f>Source!H55</f>
        <v>Итого</v>
      </c>
      <c r="D42" s="60"/>
      <c r="E42" s="60"/>
      <c r="F42" s="60"/>
      <c r="G42" s="60"/>
      <c r="H42" s="60"/>
      <c r="I42" s="60"/>
      <c r="J42" s="61">
        <f>IF(Source!F55=0, "", Source!F55)</f>
        <v>1487389.83</v>
      </c>
      <c r="K42" s="61"/>
    </row>
    <row r="43" spans="1:26" ht="14.25" x14ac:dyDescent="0.2">
      <c r="C43" s="65" t="str">
        <f>Source!H56</f>
        <v>НДС 18%</v>
      </c>
      <c r="D43" s="65"/>
      <c r="E43" s="65"/>
      <c r="F43" s="65"/>
      <c r="G43" s="65"/>
      <c r="H43" s="65"/>
      <c r="I43" s="65"/>
      <c r="J43" s="56">
        <f>IF(Source!F56=0, "", Source!F56)</f>
        <v>267730.17</v>
      </c>
      <c r="K43" s="56"/>
    </row>
    <row r="44" spans="1:26" ht="15" x14ac:dyDescent="0.25">
      <c r="C44" s="60" t="str">
        <f>Source!H57</f>
        <v>Всего</v>
      </c>
      <c r="D44" s="60"/>
      <c r="E44" s="60"/>
      <c r="F44" s="60"/>
      <c r="G44" s="60"/>
      <c r="H44" s="60"/>
      <c r="I44" s="60"/>
      <c r="J44" s="61">
        <f>IF(Source!F57=0, "", Source!F57)</f>
        <v>1755120</v>
      </c>
      <c r="K44" s="61"/>
    </row>
    <row r="47" spans="1:26" ht="14.25" x14ac:dyDescent="0.2">
      <c r="A47" s="26" t="s">
        <v>191</v>
      </c>
      <c r="B47" s="26"/>
      <c r="C47" s="10" t="s">
        <v>192</v>
      </c>
      <c r="D47" s="24" t="str">
        <f>IF(Source!AC12&lt;&gt;"", Source!AC12," ")</f>
        <v xml:space="preserve"> </v>
      </c>
      <c r="E47" s="24"/>
      <c r="F47" s="24"/>
      <c r="G47" s="24"/>
      <c r="H47" s="24"/>
      <c r="I47" s="11" t="str">
        <f>IF(Source!AB12&lt;&gt;"", Source!AB12," ")</f>
        <v xml:space="preserve"> </v>
      </c>
      <c r="J47" s="11"/>
      <c r="K47" s="11"/>
      <c r="L47" s="11"/>
    </row>
    <row r="48" spans="1:26" ht="14.25" x14ac:dyDescent="0.2">
      <c r="A48" s="11"/>
      <c r="B48" s="11"/>
      <c r="C48" s="10"/>
      <c r="D48" s="64" t="s">
        <v>193</v>
      </c>
      <c r="E48" s="64"/>
      <c r="F48" s="64"/>
      <c r="G48" s="64"/>
      <c r="H48" s="64"/>
      <c r="I48" s="11"/>
      <c r="J48" s="11"/>
      <c r="K48" s="11"/>
      <c r="L48" s="11"/>
    </row>
    <row r="49" spans="1:12" ht="14.25" x14ac:dyDescent="0.2">
      <c r="A49" s="11"/>
      <c r="B49" s="11"/>
      <c r="C49" s="10"/>
      <c r="D49" s="11"/>
      <c r="E49" s="11"/>
      <c r="F49" s="11"/>
      <c r="G49" s="11"/>
      <c r="H49" s="11"/>
      <c r="I49" s="11"/>
      <c r="J49" s="11"/>
      <c r="K49" s="11"/>
      <c r="L49" s="11"/>
    </row>
    <row r="50" spans="1:12" ht="14.25" x14ac:dyDescent="0.2">
      <c r="A50" s="26" t="s">
        <v>191</v>
      </c>
      <c r="B50" s="26"/>
      <c r="C50" s="10" t="s">
        <v>194</v>
      </c>
      <c r="D50" s="24" t="str">
        <f>IF(Source!AE12&lt;&gt;"", Source!AE12," ")</f>
        <v xml:space="preserve"> </v>
      </c>
      <c r="E50" s="24"/>
      <c r="F50" s="24"/>
      <c r="G50" s="24"/>
      <c r="H50" s="24"/>
      <c r="I50" s="11" t="str">
        <f>IF(Source!AD12&lt;&gt;"", Source!AD12," ")</f>
        <v xml:space="preserve"> </v>
      </c>
      <c r="J50" s="11"/>
      <c r="K50" s="11"/>
      <c r="L50" s="11"/>
    </row>
    <row r="51" spans="1:12" ht="14.25" x14ac:dyDescent="0.2">
      <c r="A51" s="11"/>
      <c r="B51" s="11"/>
      <c r="C51" s="11"/>
      <c r="D51" s="64" t="s">
        <v>193</v>
      </c>
      <c r="E51" s="64"/>
      <c r="F51" s="64"/>
      <c r="G51" s="64"/>
      <c r="H51" s="64"/>
      <c r="I51" s="11"/>
      <c r="J51" s="11"/>
      <c r="K51" s="11"/>
      <c r="L51" s="11"/>
    </row>
  </sheetData>
  <mergeCells count="57">
    <mergeCell ref="D48:H48"/>
    <mergeCell ref="D51:H51"/>
    <mergeCell ref="C24:F24"/>
    <mergeCell ref="G24:H24"/>
    <mergeCell ref="I24:J24"/>
    <mergeCell ref="J34:K34"/>
    <mergeCell ref="G34:H34"/>
    <mergeCell ref="C43:I43"/>
    <mergeCell ref="J43:K43"/>
    <mergeCell ref="C44:I44"/>
    <mergeCell ref="J44:K44"/>
    <mergeCell ref="K24:L24"/>
    <mergeCell ref="A26:L26"/>
    <mergeCell ref="C42:I42"/>
    <mergeCell ref="J42:K42"/>
    <mergeCell ref="G41:H41"/>
    <mergeCell ref="J41:K41"/>
    <mergeCell ref="A41:F41"/>
    <mergeCell ref="J40:K40"/>
    <mergeCell ref="G40:H40"/>
    <mergeCell ref="C22:F22"/>
    <mergeCell ref="G22:H22"/>
    <mergeCell ref="I22:J22"/>
    <mergeCell ref="K22:L22"/>
    <mergeCell ref="C23:F23"/>
    <mergeCell ref="G23:H23"/>
    <mergeCell ref="I23:J23"/>
    <mergeCell ref="K23:L23"/>
    <mergeCell ref="C20:F20"/>
    <mergeCell ref="G20:H20"/>
    <mergeCell ref="I20:J20"/>
    <mergeCell ref="K20:L20"/>
    <mergeCell ref="C21:F21"/>
    <mergeCell ref="G21:H21"/>
    <mergeCell ref="I21:J21"/>
    <mergeCell ref="K21:L21"/>
    <mergeCell ref="C18:F18"/>
    <mergeCell ref="G18:H18"/>
    <mergeCell ref="I18:J18"/>
    <mergeCell ref="K18:L18"/>
    <mergeCell ref="C19:F19"/>
    <mergeCell ref="G19:H19"/>
    <mergeCell ref="I19:J19"/>
    <mergeCell ref="K19:L19"/>
    <mergeCell ref="B11:K11"/>
    <mergeCell ref="B12:K12"/>
    <mergeCell ref="B14:K14"/>
    <mergeCell ref="G17:H17"/>
    <mergeCell ref="I17:J17"/>
    <mergeCell ref="B7:E7"/>
    <mergeCell ref="H7:L7"/>
    <mergeCell ref="B3:E3"/>
    <mergeCell ref="H3:L3"/>
    <mergeCell ref="B4:E4"/>
    <mergeCell ref="H4:L4"/>
    <mergeCell ref="B6:E6"/>
    <mergeCell ref="H6:L6"/>
  </mergeCells>
  <pageMargins left="0.4" right="0.2" top="0.2" bottom="0.4" header="0.2" footer="0.2"/>
  <pageSetup paperSize="9" scale="59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22"/>
  <sheetViews>
    <sheetView workbookViewId="0">
      <selection activeCell="I25" sqref="I25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  <c r="N1">
        <v>10</v>
      </c>
      <c r="O1">
        <v>1</v>
      </c>
      <c r="P1">
        <v>0</v>
      </c>
      <c r="Q1">
        <v>10</v>
      </c>
    </row>
    <row r="12" spans="1:133" x14ac:dyDescent="0.2">
      <c r="A12" s="1">
        <v>1</v>
      </c>
      <c r="B12" s="1">
        <v>117</v>
      </c>
      <c r="C12" s="1">
        <v>0</v>
      </c>
      <c r="D12" s="1">
        <f>ROW(A59)</f>
        <v>59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0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B59</f>
        <v>117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Пусконаладка  Пегов</v>
      </c>
      <c r="H18" s="2"/>
      <c r="I18" s="2"/>
      <c r="J18" s="2"/>
      <c r="K18" s="2"/>
      <c r="L18" s="2"/>
      <c r="M18" s="2"/>
      <c r="N18" s="2"/>
      <c r="O18" s="2">
        <f t="shared" ref="O18:AT18" si="1">O59</f>
        <v>795396</v>
      </c>
      <c r="P18" s="2">
        <f t="shared" si="1"/>
        <v>0</v>
      </c>
      <c r="Q18" s="2">
        <f t="shared" si="1"/>
        <v>0</v>
      </c>
      <c r="R18" s="2">
        <f t="shared" si="1"/>
        <v>0</v>
      </c>
      <c r="S18" s="2">
        <f t="shared" si="1"/>
        <v>795396</v>
      </c>
      <c r="T18" s="2">
        <f t="shared" si="1"/>
        <v>0</v>
      </c>
      <c r="U18" s="2">
        <f t="shared" si="1"/>
        <v>2892.9604559999998</v>
      </c>
      <c r="V18" s="2">
        <f t="shared" si="1"/>
        <v>0</v>
      </c>
      <c r="W18" s="2">
        <f t="shared" si="1"/>
        <v>0</v>
      </c>
      <c r="X18" s="2">
        <f t="shared" si="1"/>
        <v>437468</v>
      </c>
      <c r="Y18" s="2">
        <f t="shared" si="1"/>
        <v>254526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1487390</v>
      </c>
      <c r="AS18" s="2">
        <f t="shared" si="1"/>
        <v>0</v>
      </c>
      <c r="AT18" s="2">
        <f t="shared" si="1"/>
        <v>0</v>
      </c>
      <c r="AU18" s="2">
        <f t="shared" ref="AU18:BZ18" si="2">AU59</f>
        <v>1487390</v>
      </c>
      <c r="AV18" s="2">
        <f t="shared" si="2"/>
        <v>0</v>
      </c>
      <c r="AW18" s="2">
        <f t="shared" si="2"/>
        <v>0</v>
      </c>
      <c r="AX18" s="2">
        <f t="shared" si="2"/>
        <v>0</v>
      </c>
      <c r="AY18" s="2">
        <f t="shared" si="2"/>
        <v>0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CA59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DG59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EM59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FS59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ROW(A27)</f>
        <v>27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 t="shared" ref="B22:G22" si="7">B27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O27</f>
        <v>795396</v>
      </c>
      <c r="P22" s="2">
        <f t="shared" si="8"/>
        <v>0</v>
      </c>
      <c r="Q22" s="2">
        <f t="shared" si="8"/>
        <v>0</v>
      </c>
      <c r="R22" s="2">
        <f t="shared" si="8"/>
        <v>0</v>
      </c>
      <c r="S22" s="2">
        <f t="shared" si="8"/>
        <v>795396</v>
      </c>
      <c r="T22" s="2">
        <f t="shared" si="8"/>
        <v>0</v>
      </c>
      <c r="U22" s="2">
        <f t="shared" si="8"/>
        <v>2892.9604559999998</v>
      </c>
      <c r="V22" s="2">
        <f t="shared" si="8"/>
        <v>0</v>
      </c>
      <c r="W22" s="2">
        <f t="shared" si="8"/>
        <v>0</v>
      </c>
      <c r="X22" s="2">
        <f t="shared" si="8"/>
        <v>437468</v>
      </c>
      <c r="Y22" s="2">
        <f t="shared" si="8"/>
        <v>254526</v>
      </c>
      <c r="Z22" s="2">
        <f t="shared" si="8"/>
        <v>0</v>
      </c>
      <c r="AA22" s="2">
        <f t="shared" si="8"/>
        <v>0</v>
      </c>
      <c r="AB22" s="2">
        <f t="shared" si="8"/>
        <v>795396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795396</v>
      </c>
      <c r="AG22" s="2">
        <f t="shared" si="8"/>
        <v>0</v>
      </c>
      <c r="AH22" s="2">
        <f t="shared" si="8"/>
        <v>2892.9604559999998</v>
      </c>
      <c r="AI22" s="2">
        <f t="shared" si="8"/>
        <v>0</v>
      </c>
      <c r="AJ22" s="2">
        <f t="shared" si="8"/>
        <v>0</v>
      </c>
      <c r="AK22" s="2">
        <f t="shared" si="8"/>
        <v>437468</v>
      </c>
      <c r="AL22" s="2">
        <f t="shared" si="8"/>
        <v>254526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1487390</v>
      </c>
      <c r="AS22" s="2">
        <f t="shared" si="8"/>
        <v>0</v>
      </c>
      <c r="AT22" s="2">
        <f t="shared" si="8"/>
        <v>0</v>
      </c>
      <c r="AU22" s="2">
        <f t="shared" ref="AU22:BZ22" si="9">AU27</f>
        <v>1487390</v>
      </c>
      <c r="AV22" s="2">
        <f t="shared" si="9"/>
        <v>0</v>
      </c>
      <c r="AW22" s="2">
        <f t="shared" si="9"/>
        <v>0</v>
      </c>
      <c r="AX22" s="2">
        <f t="shared" si="9"/>
        <v>0</v>
      </c>
      <c r="AY22" s="2">
        <f t="shared" si="9"/>
        <v>0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CA27</f>
        <v>1487390</v>
      </c>
      <c r="CB22" s="2">
        <f t="shared" si="10"/>
        <v>0</v>
      </c>
      <c r="CC22" s="2">
        <f t="shared" si="10"/>
        <v>0</v>
      </c>
      <c r="CD22" s="2">
        <f t="shared" si="10"/>
        <v>1487390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DG27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EM27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FS27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>
        <v>17</v>
      </c>
      <c r="B24">
        <v>1</v>
      </c>
      <c r="C24">
        <f>ROW(SmtRes!A5)</f>
        <v>5</v>
      </c>
      <c r="D24">
        <f>ROW(EtalonRes!A5)</f>
        <v>5</v>
      </c>
      <c r="E24" t="s">
        <v>12</v>
      </c>
      <c r="F24" t="s">
        <v>13</v>
      </c>
      <c r="G24" t="s">
        <v>14</v>
      </c>
      <c r="H24" t="s">
        <v>15</v>
      </c>
      <c r="I24">
        <v>4</v>
      </c>
      <c r="J24">
        <v>0</v>
      </c>
      <c r="O24">
        <f>ROUND(CP24,0)</f>
        <v>541104</v>
      </c>
      <c r="P24">
        <f>ROUND(CQ24*I24,0)</f>
        <v>0</v>
      </c>
      <c r="Q24">
        <f>ROUND(CR24*I24,0)</f>
        <v>0</v>
      </c>
      <c r="R24">
        <f>ROUND(CS24*I24,0)</f>
        <v>0</v>
      </c>
      <c r="S24">
        <f>ROUND(CT24*I24,0)</f>
        <v>541104</v>
      </c>
      <c r="T24">
        <f>ROUND(CU24*I24,0)</f>
        <v>0</v>
      </c>
      <c r="U24">
        <f>CV24*I24</f>
        <v>1968</v>
      </c>
      <c r="V24">
        <f>CW24*I24</f>
        <v>0</v>
      </c>
      <c r="W24">
        <f>ROUND(CX24*I24,0)</f>
        <v>0</v>
      </c>
      <c r="X24">
        <f>ROUND(CY24,0)</f>
        <v>297607</v>
      </c>
      <c r="Y24">
        <f>ROUND(CZ24,0)</f>
        <v>173153</v>
      </c>
      <c r="AA24">
        <v>39625284</v>
      </c>
      <c r="AB24">
        <f>ROUND((AC24+AD24+AF24),6)</f>
        <v>6976.58</v>
      </c>
      <c r="AC24">
        <f>ROUND((ES24),6)</f>
        <v>0</v>
      </c>
      <c r="AD24">
        <f>ROUND((((ET24)-(EU24))+AE24),6)</f>
        <v>0</v>
      </c>
      <c r="AE24">
        <f>ROUND((EU24),6)</f>
        <v>0</v>
      </c>
      <c r="AF24">
        <f>ROUND((EV24),6)</f>
        <v>6976.58</v>
      </c>
      <c r="AG24">
        <f>ROUND((AP24),6)</f>
        <v>0</v>
      </c>
      <c r="AH24">
        <f>(EW24)</f>
        <v>492</v>
      </c>
      <c r="AI24">
        <f>(EX24)</f>
        <v>0</v>
      </c>
      <c r="AJ24">
        <f>(AS24)</f>
        <v>0</v>
      </c>
      <c r="AK24">
        <v>6976.58</v>
      </c>
      <c r="AL24">
        <v>0</v>
      </c>
      <c r="AM24">
        <v>0</v>
      </c>
      <c r="AN24">
        <v>0</v>
      </c>
      <c r="AO24">
        <v>6976.58</v>
      </c>
      <c r="AP24">
        <v>0</v>
      </c>
      <c r="AQ24">
        <v>492</v>
      </c>
      <c r="AR24">
        <v>0</v>
      </c>
      <c r="AS24">
        <v>0</v>
      </c>
      <c r="AT24">
        <v>55</v>
      </c>
      <c r="AU24">
        <v>32</v>
      </c>
      <c r="AV24">
        <v>1</v>
      </c>
      <c r="AW24">
        <v>1</v>
      </c>
      <c r="AZ24">
        <v>1</v>
      </c>
      <c r="BA24">
        <v>19.39</v>
      </c>
      <c r="BB24">
        <v>1</v>
      </c>
      <c r="BC24">
        <v>1</v>
      </c>
      <c r="BD24" t="s">
        <v>3</v>
      </c>
      <c r="BE24" t="s">
        <v>3</v>
      </c>
      <c r="BF24" t="s">
        <v>3</v>
      </c>
      <c r="BG24" t="s">
        <v>3</v>
      </c>
      <c r="BH24">
        <v>0</v>
      </c>
      <c r="BI24">
        <v>4</v>
      </c>
      <c r="BJ24" t="s">
        <v>16</v>
      </c>
      <c r="BM24">
        <v>200001</v>
      </c>
      <c r="BN24">
        <v>0</v>
      </c>
      <c r="BO24" t="s">
        <v>3</v>
      </c>
      <c r="BP24">
        <v>0</v>
      </c>
      <c r="BQ24">
        <v>4</v>
      </c>
      <c r="BR24">
        <v>0</v>
      </c>
      <c r="BS24">
        <v>1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3</v>
      </c>
      <c r="BZ24">
        <v>65</v>
      </c>
      <c r="CA24">
        <v>40</v>
      </c>
      <c r="CE24">
        <v>0</v>
      </c>
      <c r="CF24">
        <v>0</v>
      </c>
      <c r="CG24">
        <v>0</v>
      </c>
      <c r="CM24">
        <v>0</v>
      </c>
      <c r="CN24" t="s">
        <v>3</v>
      </c>
      <c r="CO24">
        <v>0</v>
      </c>
      <c r="CP24">
        <f>(P24+Q24+S24)</f>
        <v>541104</v>
      </c>
      <c r="CQ24">
        <f>AC24*BC24</f>
        <v>0</v>
      </c>
      <c r="CR24">
        <f>AD24*BB24</f>
        <v>0</v>
      </c>
      <c r="CS24">
        <f>AE24*BS24</f>
        <v>0</v>
      </c>
      <c r="CT24">
        <f>AF24*BA24</f>
        <v>135275.88620000001</v>
      </c>
      <c r="CU24">
        <f t="shared" ref="CU24:CX25" si="14">AG24</f>
        <v>0</v>
      </c>
      <c r="CV24">
        <f t="shared" si="14"/>
        <v>492</v>
      </c>
      <c r="CW24">
        <f t="shared" si="14"/>
        <v>0</v>
      </c>
      <c r="CX24">
        <f t="shared" si="14"/>
        <v>0</v>
      </c>
      <c r="CY24">
        <f>(((S24+R24)*AT24)/100)</f>
        <v>297607.2</v>
      </c>
      <c r="CZ24">
        <f>(((S24+R24)*AU24)/100)</f>
        <v>173153.28</v>
      </c>
      <c r="DC24" t="s">
        <v>3</v>
      </c>
      <c r="DD24" t="s">
        <v>3</v>
      </c>
      <c r="DE24" t="s">
        <v>3</v>
      </c>
      <c r="DF24" t="s">
        <v>3</v>
      </c>
      <c r="DG24" t="s">
        <v>3</v>
      </c>
      <c r="DH24" t="s">
        <v>3</v>
      </c>
      <c r="DI24" t="s">
        <v>3</v>
      </c>
      <c r="DJ24" t="s">
        <v>3</v>
      </c>
      <c r="DK24" t="s">
        <v>3</v>
      </c>
      <c r="DL24" t="s">
        <v>3</v>
      </c>
      <c r="DM24" t="s">
        <v>3</v>
      </c>
      <c r="DN24">
        <v>0</v>
      </c>
      <c r="DO24">
        <v>0</v>
      </c>
      <c r="DP24">
        <v>1</v>
      </c>
      <c r="DQ24">
        <v>1</v>
      </c>
      <c r="DU24">
        <v>1013</v>
      </c>
      <c r="DV24" t="s">
        <v>15</v>
      </c>
      <c r="DW24" t="s">
        <v>15</v>
      </c>
      <c r="DX24">
        <v>1</v>
      </c>
      <c r="EE24">
        <v>39174428</v>
      </c>
      <c r="EF24">
        <v>4</v>
      </c>
      <c r="EG24" t="s">
        <v>17</v>
      </c>
      <c r="EH24">
        <v>0</v>
      </c>
      <c r="EI24" t="s">
        <v>3</v>
      </c>
      <c r="EJ24">
        <v>4</v>
      </c>
      <c r="EK24">
        <v>200001</v>
      </c>
      <c r="EL24" t="s">
        <v>18</v>
      </c>
      <c r="EM24" t="s">
        <v>19</v>
      </c>
      <c r="EO24" t="s">
        <v>3</v>
      </c>
      <c r="EQ24">
        <v>0</v>
      </c>
      <c r="ER24">
        <v>6976.58</v>
      </c>
      <c r="ES24">
        <v>0</v>
      </c>
      <c r="ET24">
        <v>0</v>
      </c>
      <c r="EU24">
        <v>0</v>
      </c>
      <c r="EV24">
        <v>6976.58</v>
      </c>
      <c r="EW24">
        <v>492</v>
      </c>
      <c r="EX24">
        <v>0</v>
      </c>
      <c r="EY24">
        <v>0</v>
      </c>
      <c r="FQ24">
        <v>0</v>
      </c>
      <c r="FR24">
        <f>ROUND(IF(AND(BH24=3,BI24=3),P24,0),0)</f>
        <v>0</v>
      </c>
      <c r="FS24">
        <v>0</v>
      </c>
      <c r="FV24" t="s">
        <v>20</v>
      </c>
      <c r="FW24" t="s">
        <v>21</v>
      </c>
      <c r="FX24">
        <v>65</v>
      </c>
      <c r="FY24">
        <v>40</v>
      </c>
      <c r="GA24" t="s">
        <v>3</v>
      </c>
      <c r="GD24">
        <v>1</v>
      </c>
      <c r="GF24">
        <v>-1903840380</v>
      </c>
      <c r="GG24">
        <v>2</v>
      </c>
      <c r="GH24">
        <v>1</v>
      </c>
      <c r="GI24">
        <v>4</v>
      </c>
      <c r="GJ24">
        <v>0</v>
      </c>
      <c r="GK24">
        <v>0</v>
      </c>
      <c r="GL24">
        <f>ROUND(IF(AND(BH24=3,BI24=3,FS24&lt;&gt;0),P24,0),0)</f>
        <v>0</v>
      </c>
      <c r="GM24">
        <f>ROUND(O24+X24+Y24,0)+GX24</f>
        <v>1011864</v>
      </c>
      <c r="GN24">
        <f>IF(OR(BI24=0,BI24=1),ROUND(O24+X24+Y24,0),0)</f>
        <v>0</v>
      </c>
      <c r="GO24">
        <f>IF(BI24=2,ROUND(O24+X24+Y24,0),0)</f>
        <v>0</v>
      </c>
      <c r="GP24">
        <f>IF(BI24=4,ROUND(O24+X24+Y24,0)+GX24,0)</f>
        <v>1011864</v>
      </c>
      <c r="GR24">
        <v>0</v>
      </c>
      <c r="GS24">
        <v>3</v>
      </c>
      <c r="GT24">
        <v>0</v>
      </c>
      <c r="GU24" t="s">
        <v>3</v>
      </c>
      <c r="GV24">
        <f>ROUND((GT24),6)</f>
        <v>0</v>
      </c>
      <c r="GW24">
        <v>1</v>
      </c>
      <c r="GX24">
        <f>ROUND(HC24*I24,0)</f>
        <v>0</v>
      </c>
      <c r="HA24">
        <v>0</v>
      </c>
      <c r="HB24">
        <v>0</v>
      </c>
      <c r="HC24">
        <f>GV24*GW24</f>
        <v>0</v>
      </c>
      <c r="IK24">
        <v>0</v>
      </c>
    </row>
    <row r="25" spans="1:245" x14ac:dyDescent="0.2">
      <c r="A25">
        <v>17</v>
      </c>
      <c r="B25">
        <v>1</v>
      </c>
      <c r="C25">
        <f>ROW(SmtRes!A10)</f>
        <v>10</v>
      </c>
      <c r="D25">
        <f>ROW(EtalonRes!A10)</f>
        <v>10</v>
      </c>
      <c r="E25" t="s">
        <v>22</v>
      </c>
      <c r="F25" t="s">
        <v>23</v>
      </c>
      <c r="G25" t="s">
        <v>24</v>
      </c>
      <c r="H25" t="s">
        <v>25</v>
      </c>
      <c r="I25" s="48">
        <v>157.30619999999999</v>
      </c>
      <c r="J25">
        <v>0</v>
      </c>
      <c r="O25">
        <f>ROUND(CP25,0)</f>
        <v>254292</v>
      </c>
      <c r="P25">
        <f>ROUND(CQ25*I25,0)</f>
        <v>0</v>
      </c>
      <c r="Q25">
        <f>ROUND(CR25*I25,0)</f>
        <v>0</v>
      </c>
      <c r="R25">
        <f>ROUND(CS25*I25,0)</f>
        <v>0</v>
      </c>
      <c r="S25">
        <f>ROUND(CT25*I25,0)</f>
        <v>254292</v>
      </c>
      <c r="T25">
        <f>ROUND(CU25*I25,0)</f>
        <v>0</v>
      </c>
      <c r="U25">
        <f>CV25*I25</f>
        <v>924.96045599999991</v>
      </c>
      <c r="V25">
        <f>CW25*I25</f>
        <v>0</v>
      </c>
      <c r="W25">
        <f>ROUND(CX25*I25,0)</f>
        <v>0</v>
      </c>
      <c r="X25">
        <f>ROUND(CY25,0)</f>
        <v>139861</v>
      </c>
      <c r="Y25">
        <f>ROUND(CZ25,0)</f>
        <v>81373</v>
      </c>
      <c r="AA25">
        <v>39625284</v>
      </c>
      <c r="AB25">
        <f>ROUND((AC25+AD25+AF25),6)</f>
        <v>83.37</v>
      </c>
      <c r="AC25">
        <f>ROUND((ES25),6)</f>
        <v>0</v>
      </c>
      <c r="AD25">
        <f>ROUND((((ET25)-(EU25))+AE25),6)</f>
        <v>0</v>
      </c>
      <c r="AE25">
        <f>ROUND((EU25),6)</f>
        <v>0</v>
      </c>
      <c r="AF25">
        <f>ROUND((EV25),6)</f>
        <v>83.37</v>
      </c>
      <c r="AG25">
        <f>ROUND((AP25),6)</f>
        <v>0</v>
      </c>
      <c r="AH25">
        <f>(EW25)</f>
        <v>5.88</v>
      </c>
      <c r="AI25">
        <f>(EX25)</f>
        <v>0</v>
      </c>
      <c r="AJ25">
        <f>(AS25)</f>
        <v>0</v>
      </c>
      <c r="AK25">
        <v>83.37</v>
      </c>
      <c r="AL25">
        <v>0</v>
      </c>
      <c r="AM25">
        <v>0</v>
      </c>
      <c r="AN25">
        <v>0</v>
      </c>
      <c r="AO25">
        <v>83.37</v>
      </c>
      <c r="AP25">
        <v>0</v>
      </c>
      <c r="AQ25">
        <v>5.88</v>
      </c>
      <c r="AR25">
        <v>0</v>
      </c>
      <c r="AS25">
        <v>0</v>
      </c>
      <c r="AT25">
        <v>55</v>
      </c>
      <c r="AU25">
        <v>32</v>
      </c>
      <c r="AV25">
        <v>1</v>
      </c>
      <c r="AW25">
        <v>1</v>
      </c>
      <c r="AZ25">
        <v>1</v>
      </c>
      <c r="BA25">
        <v>19.39</v>
      </c>
      <c r="BB25">
        <v>1</v>
      </c>
      <c r="BC25">
        <v>1</v>
      </c>
      <c r="BD25" t="s">
        <v>3</v>
      </c>
      <c r="BE25" t="s">
        <v>3</v>
      </c>
      <c r="BF25" t="s">
        <v>3</v>
      </c>
      <c r="BG25" t="s">
        <v>3</v>
      </c>
      <c r="BH25">
        <v>0</v>
      </c>
      <c r="BI25">
        <v>4</v>
      </c>
      <c r="BJ25" t="s">
        <v>26</v>
      </c>
      <c r="BM25">
        <v>200001</v>
      </c>
      <c r="BN25">
        <v>0</v>
      </c>
      <c r="BO25" t="s">
        <v>3</v>
      </c>
      <c r="BP25">
        <v>0</v>
      </c>
      <c r="BQ25">
        <v>4</v>
      </c>
      <c r="BR25">
        <v>0</v>
      </c>
      <c r="BS25">
        <v>1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65</v>
      </c>
      <c r="CA25">
        <v>40</v>
      </c>
      <c r="CE25">
        <v>0</v>
      </c>
      <c r="CF25">
        <v>0</v>
      </c>
      <c r="CG25">
        <v>0</v>
      </c>
      <c r="CM25">
        <v>0</v>
      </c>
      <c r="CN25" t="s">
        <v>3</v>
      </c>
      <c r="CO25">
        <v>0</v>
      </c>
      <c r="CP25">
        <f>(P25+Q25+S25)</f>
        <v>254292</v>
      </c>
      <c r="CQ25">
        <f>AC25*BC25</f>
        <v>0</v>
      </c>
      <c r="CR25">
        <f>AD25*BB25</f>
        <v>0</v>
      </c>
      <c r="CS25">
        <f>AE25*BS25</f>
        <v>0</v>
      </c>
      <c r="CT25">
        <f>AF25*BA25</f>
        <v>1616.5443000000002</v>
      </c>
      <c r="CU25">
        <f t="shared" si="14"/>
        <v>0</v>
      </c>
      <c r="CV25">
        <f t="shared" si="14"/>
        <v>5.88</v>
      </c>
      <c r="CW25">
        <f t="shared" si="14"/>
        <v>0</v>
      </c>
      <c r="CX25">
        <f t="shared" si="14"/>
        <v>0</v>
      </c>
      <c r="CY25">
        <f>(((S25+R25)*AT25)/100)</f>
        <v>139860.6</v>
      </c>
      <c r="CZ25">
        <f>(((S25+R25)*AU25)/100)</f>
        <v>81373.440000000002</v>
      </c>
      <c r="DC25" t="s">
        <v>3</v>
      </c>
      <c r="DD25" t="s">
        <v>3</v>
      </c>
      <c r="DE25" t="s">
        <v>3</v>
      </c>
      <c r="DF25" t="s">
        <v>3</v>
      </c>
      <c r="DG25" t="s">
        <v>3</v>
      </c>
      <c r="DH25" t="s">
        <v>3</v>
      </c>
      <c r="DI25" t="s">
        <v>3</v>
      </c>
      <c r="DJ25" t="s">
        <v>3</v>
      </c>
      <c r="DK25" t="s">
        <v>3</v>
      </c>
      <c r="DL25" t="s">
        <v>3</v>
      </c>
      <c r="DM25" t="s">
        <v>3</v>
      </c>
      <c r="DN25">
        <v>0</v>
      </c>
      <c r="DO25">
        <v>0</v>
      </c>
      <c r="DP25">
        <v>1</v>
      </c>
      <c r="DQ25">
        <v>1</v>
      </c>
      <c r="DU25">
        <v>1013</v>
      </c>
      <c r="DV25" t="s">
        <v>25</v>
      </c>
      <c r="DW25" t="s">
        <v>25</v>
      </c>
      <c r="DX25">
        <v>1</v>
      </c>
      <c r="EE25">
        <v>39174428</v>
      </c>
      <c r="EF25">
        <v>4</v>
      </c>
      <c r="EG25" t="s">
        <v>17</v>
      </c>
      <c r="EH25">
        <v>0</v>
      </c>
      <c r="EI25" t="s">
        <v>3</v>
      </c>
      <c r="EJ25">
        <v>4</v>
      </c>
      <c r="EK25">
        <v>200001</v>
      </c>
      <c r="EL25" t="s">
        <v>18</v>
      </c>
      <c r="EM25" t="s">
        <v>19</v>
      </c>
      <c r="EO25" t="s">
        <v>3</v>
      </c>
      <c r="EQ25">
        <v>0</v>
      </c>
      <c r="ER25">
        <v>83.37</v>
      </c>
      <c r="ES25">
        <v>0</v>
      </c>
      <c r="ET25">
        <v>0</v>
      </c>
      <c r="EU25">
        <v>0</v>
      </c>
      <c r="EV25">
        <v>83.37</v>
      </c>
      <c r="EW25">
        <v>5.88</v>
      </c>
      <c r="EX25">
        <v>0</v>
      </c>
      <c r="EY25">
        <v>0</v>
      </c>
      <c r="FQ25">
        <v>0</v>
      </c>
      <c r="FR25">
        <f>ROUND(IF(AND(BH25=3,BI25=3),P25,0),0)</f>
        <v>0</v>
      </c>
      <c r="FS25">
        <v>0</v>
      </c>
      <c r="FV25" t="s">
        <v>20</v>
      </c>
      <c r="FW25" t="s">
        <v>21</v>
      </c>
      <c r="FX25">
        <v>65</v>
      </c>
      <c r="FY25">
        <v>40</v>
      </c>
      <c r="GA25" t="s">
        <v>3</v>
      </c>
      <c r="GD25">
        <v>1</v>
      </c>
      <c r="GF25">
        <v>-1705558950</v>
      </c>
      <c r="GG25">
        <v>2</v>
      </c>
      <c r="GH25">
        <v>1</v>
      </c>
      <c r="GI25">
        <v>4</v>
      </c>
      <c r="GJ25">
        <v>0</v>
      </c>
      <c r="GK25">
        <v>0</v>
      </c>
      <c r="GL25">
        <f>ROUND(IF(AND(BH25=3,BI25=3,FS25&lt;&gt;0),P25,0),0)</f>
        <v>0</v>
      </c>
      <c r="GM25">
        <f>ROUND(O25+X25+Y25,0)+GX25</f>
        <v>475526</v>
      </c>
      <c r="GN25">
        <f>IF(OR(BI25=0,BI25=1),ROUND(O25+X25+Y25,0),0)</f>
        <v>0</v>
      </c>
      <c r="GO25">
        <f>IF(BI25=2,ROUND(O25+X25+Y25,0),0)</f>
        <v>0</v>
      </c>
      <c r="GP25">
        <f>IF(BI25=4,ROUND(O25+X25+Y25,0)+GX25,0)</f>
        <v>475526</v>
      </c>
      <c r="GR25">
        <v>0</v>
      </c>
      <c r="GS25">
        <v>3</v>
      </c>
      <c r="GT25">
        <v>0</v>
      </c>
      <c r="GU25" t="s">
        <v>3</v>
      </c>
      <c r="GV25">
        <f>ROUND((GT25),6)</f>
        <v>0</v>
      </c>
      <c r="GW25">
        <v>1</v>
      </c>
      <c r="GX25">
        <f>ROUND(HC25*I25,0)</f>
        <v>0</v>
      </c>
      <c r="HA25">
        <v>0</v>
      </c>
      <c r="HB25">
        <v>0</v>
      </c>
      <c r="HC25">
        <f>GV25*GW25</f>
        <v>0</v>
      </c>
      <c r="IK25">
        <v>0</v>
      </c>
    </row>
    <row r="27" spans="1:245" x14ac:dyDescent="0.2">
      <c r="A27" s="2">
        <v>51</v>
      </c>
      <c r="B27" s="2">
        <f>B20</f>
        <v>1</v>
      </c>
      <c r="C27" s="2">
        <f>A20</f>
        <v>3</v>
      </c>
      <c r="D27" s="2">
        <f>ROW(A20)</f>
        <v>20</v>
      </c>
      <c r="E27" s="2"/>
      <c r="F27" s="2" t="str">
        <f>IF(F20&lt;&gt;"",F20,"")</f>
        <v>Новая локальная смета</v>
      </c>
      <c r="G27" s="2" t="str">
        <f>IF(G20&lt;&gt;"",G20,"")</f>
        <v>Новая локальная смета</v>
      </c>
      <c r="H27" s="2">
        <v>0</v>
      </c>
      <c r="I27" s="2"/>
      <c r="J27" s="2"/>
      <c r="K27" s="2"/>
      <c r="L27" s="2"/>
      <c r="M27" s="2"/>
      <c r="N27" s="2"/>
      <c r="O27" s="2">
        <f t="shared" ref="O27:T27" si="15">ROUND(AB27,0)</f>
        <v>795396</v>
      </c>
      <c r="P27" s="2">
        <f t="shared" si="15"/>
        <v>0</v>
      </c>
      <c r="Q27" s="2">
        <f t="shared" si="15"/>
        <v>0</v>
      </c>
      <c r="R27" s="2">
        <f t="shared" si="15"/>
        <v>0</v>
      </c>
      <c r="S27" s="2">
        <f t="shared" si="15"/>
        <v>795396</v>
      </c>
      <c r="T27" s="2">
        <f t="shared" si="15"/>
        <v>0</v>
      </c>
      <c r="U27" s="2">
        <f>AH27</f>
        <v>2892.9604559999998</v>
      </c>
      <c r="V27" s="2">
        <f>AI27</f>
        <v>0</v>
      </c>
      <c r="W27" s="2">
        <f>ROUND(AJ27,0)</f>
        <v>0</v>
      </c>
      <c r="X27" s="2">
        <f>ROUND(AK27,0)</f>
        <v>437468</v>
      </c>
      <c r="Y27" s="2">
        <f>ROUND(AL27,0)</f>
        <v>254526</v>
      </c>
      <c r="Z27" s="2"/>
      <c r="AA27" s="2"/>
      <c r="AB27" s="2">
        <f>ROUND(SUMIF(AA24:AA25,"=39625284",O24:O25),0)</f>
        <v>795396</v>
      </c>
      <c r="AC27" s="2">
        <f>ROUND(SUMIF(AA24:AA25,"=39625284",P24:P25),0)</f>
        <v>0</v>
      </c>
      <c r="AD27" s="2">
        <f>ROUND(SUMIF(AA24:AA25,"=39625284",Q24:Q25),0)</f>
        <v>0</v>
      </c>
      <c r="AE27" s="2">
        <f>ROUND(SUMIF(AA24:AA25,"=39625284",R24:R25),0)</f>
        <v>0</v>
      </c>
      <c r="AF27" s="2">
        <f>ROUND(SUMIF(AA24:AA25,"=39625284",S24:S25),0)</f>
        <v>795396</v>
      </c>
      <c r="AG27" s="2">
        <f>ROUND(SUMIF(AA24:AA25,"=39625284",T24:T25),0)</f>
        <v>0</v>
      </c>
      <c r="AH27" s="2">
        <f>SUMIF(AA24:AA25,"=39625284",U24:U25)</f>
        <v>2892.9604559999998</v>
      </c>
      <c r="AI27" s="2">
        <f>SUMIF(AA24:AA25,"=39625284",V24:V25)</f>
        <v>0</v>
      </c>
      <c r="AJ27" s="2">
        <f>ROUND(SUMIF(AA24:AA25,"=39625284",W24:W25),0)</f>
        <v>0</v>
      </c>
      <c r="AK27" s="2">
        <f>ROUND(SUMIF(AA24:AA25,"=39625284",X24:X25),0)</f>
        <v>437468</v>
      </c>
      <c r="AL27" s="2">
        <f>ROUND(SUMIF(AA24:AA25,"=39625284",Y24:Y25),0)</f>
        <v>254526</v>
      </c>
      <c r="AM27" s="2"/>
      <c r="AN27" s="2"/>
      <c r="AO27" s="2">
        <f t="shared" ref="AO27:BC27" si="16">ROUND(BX27,0)</f>
        <v>0</v>
      </c>
      <c r="AP27" s="2">
        <f t="shared" si="16"/>
        <v>0</v>
      </c>
      <c r="AQ27" s="2">
        <f t="shared" si="16"/>
        <v>0</v>
      </c>
      <c r="AR27" s="2">
        <f t="shared" si="16"/>
        <v>1487390</v>
      </c>
      <c r="AS27" s="2">
        <f t="shared" si="16"/>
        <v>0</v>
      </c>
      <c r="AT27" s="2">
        <f t="shared" si="16"/>
        <v>0</v>
      </c>
      <c r="AU27" s="2">
        <f t="shared" si="16"/>
        <v>1487390</v>
      </c>
      <c r="AV27" s="2">
        <f t="shared" si="16"/>
        <v>0</v>
      </c>
      <c r="AW27" s="2">
        <f t="shared" si="16"/>
        <v>0</v>
      </c>
      <c r="AX27" s="2">
        <f t="shared" si="16"/>
        <v>0</v>
      </c>
      <c r="AY27" s="2">
        <f t="shared" si="16"/>
        <v>0</v>
      </c>
      <c r="AZ27" s="2">
        <f t="shared" si="16"/>
        <v>0</v>
      </c>
      <c r="BA27" s="2">
        <f t="shared" si="16"/>
        <v>0</v>
      </c>
      <c r="BB27" s="2">
        <f t="shared" si="16"/>
        <v>0</v>
      </c>
      <c r="BC27" s="2">
        <f t="shared" si="16"/>
        <v>0</v>
      </c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>
        <f>ROUND(SUMIF(AA24:AA25,"=39625284",FQ24:FQ25),0)</f>
        <v>0</v>
      </c>
      <c r="BY27" s="2">
        <f>ROUND(SUMIF(AA24:AA25,"=39625284",FR24:FR25),0)</f>
        <v>0</v>
      </c>
      <c r="BZ27" s="2">
        <f>ROUND(SUMIF(AA24:AA25,"=39625284",GL24:GL25),0)</f>
        <v>0</v>
      </c>
      <c r="CA27" s="2">
        <f>ROUND(SUMIF(AA24:AA25,"=39625284",GM24:GM25),0)</f>
        <v>1487390</v>
      </c>
      <c r="CB27" s="2">
        <f>ROUND(SUMIF(AA24:AA25,"=39625284",GN24:GN25),0)</f>
        <v>0</v>
      </c>
      <c r="CC27" s="2">
        <f>ROUND(SUMIF(AA24:AA25,"=39625284",GO24:GO25),0)</f>
        <v>0</v>
      </c>
      <c r="CD27" s="2">
        <f>ROUND(SUMIF(AA24:AA25,"=39625284",GP24:GP25),0)</f>
        <v>1487390</v>
      </c>
      <c r="CE27" s="2">
        <f>AC27-BX27</f>
        <v>0</v>
      </c>
      <c r="CF27" s="2">
        <f>AC27-BY27</f>
        <v>0</v>
      </c>
      <c r="CG27" s="2">
        <f>BX27-BZ27</f>
        <v>0</v>
      </c>
      <c r="CH27" s="2">
        <f>AC27-BX27-BY27+BZ27</f>
        <v>0</v>
      </c>
      <c r="CI27" s="2">
        <f>BY27-BZ27</f>
        <v>0</v>
      </c>
      <c r="CJ27" s="2">
        <f>ROUND(SUMIF(AA24:AA25,"=39625284",GX24:GX25),0)</f>
        <v>0</v>
      </c>
      <c r="CK27" s="2">
        <f>ROUND(SUMIF(AA24:AA25,"=39625284",GY24:GY25),0)</f>
        <v>0</v>
      </c>
      <c r="CL27" s="2">
        <f>ROUND(SUMIF(AA24:AA25,"=39625284",GZ24:GZ25),0)</f>
        <v>0</v>
      </c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>
        <v>0</v>
      </c>
    </row>
    <row r="29" spans="1:245" x14ac:dyDescent="0.2">
      <c r="A29" s="4">
        <v>50</v>
      </c>
      <c r="B29" s="4">
        <v>0</v>
      </c>
      <c r="C29" s="4">
        <v>0</v>
      </c>
      <c r="D29" s="4">
        <v>1</v>
      </c>
      <c r="E29" s="4">
        <v>201</v>
      </c>
      <c r="F29" s="4">
        <f>ROUND(Source!O27,O29)</f>
        <v>795396</v>
      </c>
      <c r="G29" s="4" t="s">
        <v>27</v>
      </c>
      <c r="H29" s="4" t="s">
        <v>28</v>
      </c>
      <c r="I29" s="4"/>
      <c r="J29" s="4"/>
      <c r="K29" s="4">
        <v>201</v>
      </c>
      <c r="L29" s="4">
        <v>1</v>
      </c>
      <c r="M29" s="4">
        <v>3</v>
      </c>
      <c r="N29" s="4" t="s">
        <v>3</v>
      </c>
      <c r="O29" s="4">
        <v>0</v>
      </c>
      <c r="P29" s="4"/>
      <c r="Q29" s="4"/>
      <c r="R29" s="4"/>
      <c r="S29" s="4"/>
      <c r="T29" s="4"/>
      <c r="U29" s="4"/>
      <c r="V29" s="4"/>
      <c r="W29" s="4"/>
    </row>
    <row r="30" spans="1:245" x14ac:dyDescent="0.2">
      <c r="A30" s="4">
        <v>50</v>
      </c>
      <c r="B30" s="4">
        <v>0</v>
      </c>
      <c r="C30" s="4">
        <v>0</v>
      </c>
      <c r="D30" s="4">
        <v>1</v>
      </c>
      <c r="E30" s="4">
        <v>202</v>
      </c>
      <c r="F30" s="4">
        <f>ROUND(Source!P27,O30)</f>
        <v>0</v>
      </c>
      <c r="G30" s="4" t="s">
        <v>29</v>
      </c>
      <c r="H30" s="4" t="s">
        <v>30</v>
      </c>
      <c r="I30" s="4"/>
      <c r="J30" s="4"/>
      <c r="K30" s="4">
        <v>202</v>
      </c>
      <c r="L30" s="4">
        <v>2</v>
      </c>
      <c r="M30" s="4">
        <v>3</v>
      </c>
      <c r="N30" s="4" t="s">
        <v>3</v>
      </c>
      <c r="O30" s="4">
        <v>0</v>
      </c>
      <c r="P30" s="4"/>
      <c r="Q30" s="4"/>
      <c r="R30" s="4"/>
      <c r="S30" s="4"/>
      <c r="T30" s="4"/>
      <c r="U30" s="4"/>
      <c r="V30" s="4"/>
      <c r="W30" s="4"/>
    </row>
    <row r="31" spans="1:245" x14ac:dyDescent="0.2">
      <c r="A31" s="4">
        <v>50</v>
      </c>
      <c r="B31" s="4">
        <v>0</v>
      </c>
      <c r="C31" s="4">
        <v>0</v>
      </c>
      <c r="D31" s="4">
        <v>1</v>
      </c>
      <c r="E31" s="4">
        <v>222</v>
      </c>
      <c r="F31" s="4">
        <f>ROUND(Source!AO27,O31)</f>
        <v>0</v>
      </c>
      <c r="G31" s="4" t="s">
        <v>31</v>
      </c>
      <c r="H31" s="4" t="s">
        <v>32</v>
      </c>
      <c r="I31" s="4"/>
      <c r="J31" s="4"/>
      <c r="K31" s="4">
        <v>222</v>
      </c>
      <c r="L31" s="4">
        <v>3</v>
      </c>
      <c r="M31" s="4">
        <v>3</v>
      </c>
      <c r="N31" s="4" t="s">
        <v>3</v>
      </c>
      <c r="O31" s="4">
        <v>0</v>
      </c>
      <c r="P31" s="4"/>
      <c r="Q31" s="4"/>
      <c r="R31" s="4"/>
      <c r="S31" s="4"/>
      <c r="T31" s="4"/>
      <c r="U31" s="4"/>
      <c r="V31" s="4"/>
      <c r="W31" s="4"/>
    </row>
    <row r="32" spans="1:245" x14ac:dyDescent="0.2">
      <c r="A32" s="4">
        <v>50</v>
      </c>
      <c r="B32" s="4">
        <v>0</v>
      </c>
      <c r="C32" s="4">
        <v>0</v>
      </c>
      <c r="D32" s="4">
        <v>1</v>
      </c>
      <c r="E32" s="4">
        <v>225</v>
      </c>
      <c r="F32" s="4">
        <f>ROUND(Source!AV27,O32)</f>
        <v>0</v>
      </c>
      <c r="G32" s="4" t="s">
        <v>33</v>
      </c>
      <c r="H32" s="4" t="s">
        <v>34</v>
      </c>
      <c r="I32" s="4"/>
      <c r="J32" s="4"/>
      <c r="K32" s="4">
        <v>225</v>
      </c>
      <c r="L32" s="4">
        <v>4</v>
      </c>
      <c r="M32" s="4">
        <v>3</v>
      </c>
      <c r="N32" s="4" t="s">
        <v>3</v>
      </c>
      <c r="O32" s="4">
        <v>0</v>
      </c>
      <c r="P32" s="4"/>
      <c r="Q32" s="4"/>
      <c r="R32" s="4"/>
      <c r="S32" s="4"/>
      <c r="T32" s="4"/>
      <c r="U32" s="4"/>
      <c r="V32" s="4"/>
      <c r="W32" s="4"/>
    </row>
    <row r="33" spans="1:23" x14ac:dyDescent="0.2">
      <c r="A33" s="4">
        <v>50</v>
      </c>
      <c r="B33" s="4">
        <v>0</v>
      </c>
      <c r="C33" s="4">
        <v>0</v>
      </c>
      <c r="D33" s="4">
        <v>1</v>
      </c>
      <c r="E33" s="4">
        <v>226</v>
      </c>
      <c r="F33" s="4">
        <f>ROUND(Source!AW27,O33)</f>
        <v>0</v>
      </c>
      <c r="G33" s="4" t="s">
        <v>35</v>
      </c>
      <c r="H33" s="4" t="s">
        <v>36</v>
      </c>
      <c r="I33" s="4"/>
      <c r="J33" s="4"/>
      <c r="K33" s="4">
        <v>226</v>
      </c>
      <c r="L33" s="4">
        <v>5</v>
      </c>
      <c r="M33" s="4">
        <v>3</v>
      </c>
      <c r="N33" s="4" t="s">
        <v>3</v>
      </c>
      <c r="O33" s="4">
        <v>0</v>
      </c>
      <c r="P33" s="4"/>
      <c r="Q33" s="4"/>
      <c r="R33" s="4"/>
      <c r="S33" s="4"/>
      <c r="T33" s="4"/>
      <c r="U33" s="4"/>
      <c r="V33" s="4"/>
      <c r="W33" s="4"/>
    </row>
    <row r="34" spans="1:23" x14ac:dyDescent="0.2">
      <c r="A34" s="4">
        <v>50</v>
      </c>
      <c r="B34" s="4">
        <v>0</v>
      </c>
      <c r="C34" s="4">
        <v>0</v>
      </c>
      <c r="D34" s="4">
        <v>1</v>
      </c>
      <c r="E34" s="4">
        <v>227</v>
      </c>
      <c r="F34" s="4">
        <f>ROUND(Source!AX27,O34)</f>
        <v>0</v>
      </c>
      <c r="G34" s="4" t="s">
        <v>37</v>
      </c>
      <c r="H34" s="4" t="s">
        <v>38</v>
      </c>
      <c r="I34" s="4"/>
      <c r="J34" s="4"/>
      <c r="K34" s="4">
        <v>227</v>
      </c>
      <c r="L34" s="4">
        <v>6</v>
      </c>
      <c r="M34" s="4">
        <v>3</v>
      </c>
      <c r="N34" s="4" t="s">
        <v>3</v>
      </c>
      <c r="O34" s="4">
        <v>0</v>
      </c>
      <c r="P34" s="4"/>
      <c r="Q34" s="4"/>
      <c r="R34" s="4"/>
      <c r="S34" s="4"/>
      <c r="T34" s="4"/>
      <c r="U34" s="4"/>
      <c r="V34" s="4"/>
      <c r="W34" s="4"/>
    </row>
    <row r="35" spans="1:23" x14ac:dyDescent="0.2">
      <c r="A35" s="4">
        <v>50</v>
      </c>
      <c r="B35" s="4">
        <v>0</v>
      </c>
      <c r="C35" s="4">
        <v>0</v>
      </c>
      <c r="D35" s="4">
        <v>1</v>
      </c>
      <c r="E35" s="4">
        <v>228</v>
      </c>
      <c r="F35" s="4">
        <f>ROUND(Source!AY27,O35)</f>
        <v>0</v>
      </c>
      <c r="G35" s="4" t="s">
        <v>39</v>
      </c>
      <c r="H35" s="4" t="s">
        <v>40</v>
      </c>
      <c r="I35" s="4"/>
      <c r="J35" s="4"/>
      <c r="K35" s="4">
        <v>228</v>
      </c>
      <c r="L35" s="4">
        <v>7</v>
      </c>
      <c r="M35" s="4">
        <v>3</v>
      </c>
      <c r="N35" s="4" t="s">
        <v>3</v>
      </c>
      <c r="O35" s="4">
        <v>0</v>
      </c>
      <c r="P35" s="4"/>
      <c r="Q35" s="4"/>
      <c r="R35" s="4"/>
      <c r="S35" s="4"/>
      <c r="T35" s="4"/>
      <c r="U35" s="4"/>
      <c r="V35" s="4"/>
      <c r="W35" s="4"/>
    </row>
    <row r="36" spans="1:23" x14ac:dyDescent="0.2">
      <c r="A36" s="4">
        <v>50</v>
      </c>
      <c r="B36" s="4">
        <v>0</v>
      </c>
      <c r="C36" s="4">
        <v>0</v>
      </c>
      <c r="D36" s="4">
        <v>1</v>
      </c>
      <c r="E36" s="4">
        <v>216</v>
      </c>
      <c r="F36" s="4">
        <f>ROUND(Source!AP27,O36)</f>
        <v>0</v>
      </c>
      <c r="G36" s="4" t="s">
        <v>41</v>
      </c>
      <c r="H36" s="4" t="s">
        <v>42</v>
      </c>
      <c r="I36" s="4"/>
      <c r="J36" s="4"/>
      <c r="K36" s="4">
        <v>216</v>
      </c>
      <c r="L36" s="4">
        <v>8</v>
      </c>
      <c r="M36" s="4">
        <v>3</v>
      </c>
      <c r="N36" s="4" t="s">
        <v>3</v>
      </c>
      <c r="O36" s="4">
        <v>0</v>
      </c>
      <c r="P36" s="4"/>
      <c r="Q36" s="4"/>
      <c r="R36" s="4"/>
      <c r="S36" s="4"/>
      <c r="T36" s="4"/>
      <c r="U36" s="4"/>
      <c r="V36" s="4"/>
      <c r="W36" s="4"/>
    </row>
    <row r="37" spans="1:23" x14ac:dyDescent="0.2">
      <c r="A37" s="4">
        <v>50</v>
      </c>
      <c r="B37" s="4">
        <v>0</v>
      </c>
      <c r="C37" s="4">
        <v>0</v>
      </c>
      <c r="D37" s="4">
        <v>1</v>
      </c>
      <c r="E37" s="4">
        <v>223</v>
      </c>
      <c r="F37" s="4">
        <f>ROUND(Source!AQ27,O37)</f>
        <v>0</v>
      </c>
      <c r="G37" s="4" t="s">
        <v>43</v>
      </c>
      <c r="H37" s="4" t="s">
        <v>44</v>
      </c>
      <c r="I37" s="4"/>
      <c r="J37" s="4"/>
      <c r="K37" s="4">
        <v>223</v>
      </c>
      <c r="L37" s="4">
        <v>9</v>
      </c>
      <c r="M37" s="4">
        <v>3</v>
      </c>
      <c r="N37" s="4" t="s">
        <v>3</v>
      </c>
      <c r="O37" s="4">
        <v>0</v>
      </c>
      <c r="P37" s="4"/>
      <c r="Q37" s="4"/>
      <c r="R37" s="4"/>
      <c r="S37" s="4"/>
      <c r="T37" s="4"/>
      <c r="U37" s="4"/>
      <c r="V37" s="4"/>
      <c r="W37" s="4"/>
    </row>
    <row r="38" spans="1:23" x14ac:dyDescent="0.2">
      <c r="A38" s="4">
        <v>50</v>
      </c>
      <c r="B38" s="4">
        <v>0</v>
      </c>
      <c r="C38" s="4">
        <v>0</v>
      </c>
      <c r="D38" s="4">
        <v>1</v>
      </c>
      <c r="E38" s="4">
        <v>229</v>
      </c>
      <c r="F38" s="4">
        <f>ROUND(Source!AZ27,O38)</f>
        <v>0</v>
      </c>
      <c r="G38" s="4" t="s">
        <v>45</v>
      </c>
      <c r="H38" s="4" t="s">
        <v>46</v>
      </c>
      <c r="I38" s="4"/>
      <c r="J38" s="4"/>
      <c r="K38" s="4">
        <v>229</v>
      </c>
      <c r="L38" s="4">
        <v>10</v>
      </c>
      <c r="M38" s="4">
        <v>3</v>
      </c>
      <c r="N38" s="4" t="s">
        <v>3</v>
      </c>
      <c r="O38" s="4">
        <v>0</v>
      </c>
      <c r="P38" s="4"/>
      <c r="Q38" s="4"/>
      <c r="R38" s="4"/>
      <c r="S38" s="4"/>
      <c r="T38" s="4"/>
      <c r="U38" s="4"/>
      <c r="V38" s="4"/>
      <c r="W38" s="4"/>
    </row>
    <row r="39" spans="1:23" x14ac:dyDescent="0.2">
      <c r="A39" s="4">
        <v>50</v>
      </c>
      <c r="B39" s="4">
        <v>0</v>
      </c>
      <c r="C39" s="4">
        <v>0</v>
      </c>
      <c r="D39" s="4">
        <v>1</v>
      </c>
      <c r="E39" s="4">
        <v>203</v>
      </c>
      <c r="F39" s="4">
        <f>ROUND(Source!Q27,O39)</f>
        <v>0</v>
      </c>
      <c r="G39" s="4" t="s">
        <v>47</v>
      </c>
      <c r="H39" s="4" t="s">
        <v>48</v>
      </c>
      <c r="I39" s="4"/>
      <c r="J39" s="4"/>
      <c r="K39" s="4">
        <v>203</v>
      </c>
      <c r="L39" s="4">
        <v>11</v>
      </c>
      <c r="M39" s="4">
        <v>3</v>
      </c>
      <c r="N39" s="4" t="s">
        <v>3</v>
      </c>
      <c r="O39" s="4">
        <v>0</v>
      </c>
      <c r="P39" s="4"/>
      <c r="Q39" s="4"/>
      <c r="R39" s="4"/>
      <c r="S39" s="4"/>
      <c r="T39" s="4"/>
      <c r="U39" s="4"/>
      <c r="V39" s="4"/>
      <c r="W39" s="4"/>
    </row>
    <row r="40" spans="1:23" x14ac:dyDescent="0.2">
      <c r="A40" s="4">
        <v>50</v>
      </c>
      <c r="B40" s="4">
        <v>0</v>
      </c>
      <c r="C40" s="4">
        <v>0</v>
      </c>
      <c r="D40" s="4">
        <v>1</v>
      </c>
      <c r="E40" s="4">
        <v>231</v>
      </c>
      <c r="F40" s="4">
        <f>ROUND(Source!BB27,O40)</f>
        <v>0</v>
      </c>
      <c r="G40" s="4" t="s">
        <v>49</v>
      </c>
      <c r="H40" s="4" t="s">
        <v>50</v>
      </c>
      <c r="I40" s="4"/>
      <c r="J40" s="4"/>
      <c r="K40" s="4">
        <v>231</v>
      </c>
      <c r="L40" s="4">
        <v>12</v>
      </c>
      <c r="M40" s="4">
        <v>3</v>
      </c>
      <c r="N40" s="4" t="s">
        <v>3</v>
      </c>
      <c r="O40" s="4">
        <v>0</v>
      </c>
      <c r="P40" s="4"/>
      <c r="Q40" s="4"/>
      <c r="R40" s="4"/>
      <c r="S40" s="4"/>
      <c r="T40" s="4"/>
      <c r="U40" s="4"/>
      <c r="V40" s="4"/>
      <c r="W40" s="4"/>
    </row>
    <row r="41" spans="1:23" x14ac:dyDescent="0.2">
      <c r="A41" s="4">
        <v>50</v>
      </c>
      <c r="B41" s="4">
        <v>0</v>
      </c>
      <c r="C41" s="4">
        <v>0</v>
      </c>
      <c r="D41" s="4">
        <v>1</v>
      </c>
      <c r="E41" s="4">
        <v>204</v>
      </c>
      <c r="F41" s="4">
        <f>ROUND(Source!R27,O41)</f>
        <v>0</v>
      </c>
      <c r="G41" s="4" t="s">
        <v>51</v>
      </c>
      <c r="H41" s="4" t="s">
        <v>52</v>
      </c>
      <c r="I41" s="4"/>
      <c r="J41" s="4"/>
      <c r="K41" s="4">
        <v>204</v>
      </c>
      <c r="L41" s="4">
        <v>13</v>
      </c>
      <c r="M41" s="4">
        <v>3</v>
      </c>
      <c r="N41" s="4" t="s">
        <v>3</v>
      </c>
      <c r="O41" s="4">
        <v>0</v>
      </c>
      <c r="P41" s="4"/>
      <c r="Q41" s="4"/>
      <c r="R41" s="4"/>
      <c r="S41" s="4"/>
      <c r="T41" s="4"/>
      <c r="U41" s="4"/>
      <c r="V41" s="4"/>
      <c r="W41" s="4"/>
    </row>
    <row r="42" spans="1:23" x14ac:dyDescent="0.2">
      <c r="A42" s="4">
        <v>50</v>
      </c>
      <c r="B42" s="4">
        <v>0</v>
      </c>
      <c r="C42" s="4">
        <v>0</v>
      </c>
      <c r="D42" s="4">
        <v>1</v>
      </c>
      <c r="E42" s="4">
        <v>205</v>
      </c>
      <c r="F42" s="4">
        <f>ROUND(Source!S27,O42)</f>
        <v>795396</v>
      </c>
      <c r="G42" s="4" t="s">
        <v>53</v>
      </c>
      <c r="H42" s="4" t="s">
        <v>54</v>
      </c>
      <c r="I42" s="4"/>
      <c r="J42" s="4"/>
      <c r="K42" s="4">
        <v>205</v>
      </c>
      <c r="L42" s="4">
        <v>14</v>
      </c>
      <c r="M42" s="4">
        <v>3</v>
      </c>
      <c r="N42" s="4" t="s">
        <v>3</v>
      </c>
      <c r="O42" s="4">
        <v>0</v>
      </c>
      <c r="P42" s="4"/>
      <c r="Q42" s="4"/>
      <c r="R42" s="4"/>
      <c r="S42" s="4"/>
      <c r="T42" s="4"/>
      <c r="U42" s="4"/>
      <c r="V42" s="4"/>
      <c r="W42" s="4"/>
    </row>
    <row r="43" spans="1:23" x14ac:dyDescent="0.2">
      <c r="A43" s="4">
        <v>50</v>
      </c>
      <c r="B43" s="4">
        <v>0</v>
      </c>
      <c r="C43" s="4">
        <v>0</v>
      </c>
      <c r="D43" s="4">
        <v>1</v>
      </c>
      <c r="E43" s="4">
        <v>232</v>
      </c>
      <c r="F43" s="4">
        <f>ROUND(Source!BC27,O43)</f>
        <v>0</v>
      </c>
      <c r="G43" s="4" t="s">
        <v>55</v>
      </c>
      <c r="H43" s="4" t="s">
        <v>56</v>
      </c>
      <c r="I43" s="4"/>
      <c r="J43" s="4"/>
      <c r="K43" s="4">
        <v>232</v>
      </c>
      <c r="L43" s="4">
        <v>15</v>
      </c>
      <c r="M43" s="4">
        <v>3</v>
      </c>
      <c r="N43" s="4" t="s">
        <v>3</v>
      </c>
      <c r="O43" s="4">
        <v>0</v>
      </c>
      <c r="P43" s="4"/>
      <c r="Q43" s="4"/>
      <c r="R43" s="4"/>
      <c r="S43" s="4"/>
      <c r="T43" s="4"/>
      <c r="U43" s="4"/>
      <c r="V43" s="4"/>
      <c r="W43" s="4"/>
    </row>
    <row r="44" spans="1:23" x14ac:dyDescent="0.2">
      <c r="A44" s="4">
        <v>50</v>
      </c>
      <c r="B44" s="4">
        <v>0</v>
      </c>
      <c r="C44" s="4">
        <v>0</v>
      </c>
      <c r="D44" s="4">
        <v>1</v>
      </c>
      <c r="E44" s="4">
        <v>214</v>
      </c>
      <c r="F44" s="4">
        <f>ROUND(Source!AS27,O44)</f>
        <v>0</v>
      </c>
      <c r="G44" s="4" t="s">
        <v>57</v>
      </c>
      <c r="H44" s="4" t="s">
        <v>58</v>
      </c>
      <c r="I44" s="4"/>
      <c r="J44" s="4"/>
      <c r="K44" s="4">
        <v>214</v>
      </c>
      <c r="L44" s="4">
        <v>16</v>
      </c>
      <c r="M44" s="4">
        <v>3</v>
      </c>
      <c r="N44" s="4" t="s">
        <v>3</v>
      </c>
      <c r="O44" s="4">
        <v>0</v>
      </c>
      <c r="P44" s="4"/>
      <c r="Q44" s="4"/>
      <c r="R44" s="4"/>
      <c r="S44" s="4"/>
      <c r="T44" s="4"/>
      <c r="U44" s="4"/>
      <c r="V44" s="4"/>
      <c r="W44" s="4"/>
    </row>
    <row r="45" spans="1:23" x14ac:dyDescent="0.2">
      <c r="A45" s="4">
        <v>50</v>
      </c>
      <c r="B45" s="4">
        <v>0</v>
      </c>
      <c r="C45" s="4">
        <v>0</v>
      </c>
      <c r="D45" s="4">
        <v>1</v>
      </c>
      <c r="E45" s="4">
        <v>215</v>
      </c>
      <c r="F45" s="4">
        <f>ROUND(Source!AT27,O45)</f>
        <v>0</v>
      </c>
      <c r="G45" s="4" t="s">
        <v>59</v>
      </c>
      <c r="H45" s="4" t="s">
        <v>60</v>
      </c>
      <c r="I45" s="4"/>
      <c r="J45" s="4"/>
      <c r="K45" s="4">
        <v>215</v>
      </c>
      <c r="L45" s="4">
        <v>17</v>
      </c>
      <c r="M45" s="4">
        <v>3</v>
      </c>
      <c r="N45" s="4" t="s">
        <v>3</v>
      </c>
      <c r="O45" s="4">
        <v>0</v>
      </c>
      <c r="P45" s="4"/>
      <c r="Q45" s="4"/>
      <c r="R45" s="4"/>
      <c r="S45" s="4"/>
      <c r="T45" s="4"/>
      <c r="U45" s="4"/>
      <c r="V45" s="4"/>
      <c r="W45" s="4"/>
    </row>
    <row r="46" spans="1:23" x14ac:dyDescent="0.2">
      <c r="A46" s="4">
        <v>50</v>
      </c>
      <c r="B46" s="4">
        <v>0</v>
      </c>
      <c r="C46" s="4">
        <v>0</v>
      </c>
      <c r="D46" s="4">
        <v>1</v>
      </c>
      <c r="E46" s="4">
        <v>217</v>
      </c>
      <c r="F46" s="4">
        <f>ROUND(Source!AU27,O46)</f>
        <v>1487390</v>
      </c>
      <c r="G46" s="4" t="s">
        <v>61</v>
      </c>
      <c r="H46" s="4" t="s">
        <v>62</v>
      </c>
      <c r="I46" s="4"/>
      <c r="J46" s="4"/>
      <c r="K46" s="4">
        <v>217</v>
      </c>
      <c r="L46" s="4">
        <v>18</v>
      </c>
      <c r="M46" s="4">
        <v>3</v>
      </c>
      <c r="N46" s="4" t="s">
        <v>3</v>
      </c>
      <c r="O46" s="4">
        <v>0</v>
      </c>
      <c r="P46" s="4"/>
      <c r="Q46" s="4"/>
      <c r="R46" s="4"/>
      <c r="S46" s="4"/>
      <c r="T46" s="4"/>
      <c r="U46" s="4"/>
      <c r="V46" s="4"/>
      <c r="W46" s="4"/>
    </row>
    <row r="47" spans="1:23" x14ac:dyDescent="0.2">
      <c r="A47" s="4">
        <v>50</v>
      </c>
      <c r="B47" s="4">
        <v>0</v>
      </c>
      <c r="C47" s="4">
        <v>0</v>
      </c>
      <c r="D47" s="4">
        <v>1</v>
      </c>
      <c r="E47" s="4">
        <v>230</v>
      </c>
      <c r="F47" s="4">
        <f>ROUND(Source!BA27,O47)</f>
        <v>0</v>
      </c>
      <c r="G47" s="4" t="s">
        <v>63</v>
      </c>
      <c r="H47" s="4" t="s">
        <v>64</v>
      </c>
      <c r="I47" s="4"/>
      <c r="J47" s="4"/>
      <c r="K47" s="4">
        <v>230</v>
      </c>
      <c r="L47" s="4">
        <v>19</v>
      </c>
      <c r="M47" s="4">
        <v>3</v>
      </c>
      <c r="N47" s="4" t="s">
        <v>3</v>
      </c>
      <c r="O47" s="4">
        <v>0</v>
      </c>
      <c r="P47" s="4"/>
      <c r="Q47" s="4"/>
      <c r="R47" s="4"/>
      <c r="S47" s="4"/>
      <c r="T47" s="4"/>
      <c r="U47" s="4"/>
      <c r="V47" s="4"/>
      <c r="W47" s="4"/>
    </row>
    <row r="48" spans="1:23" x14ac:dyDescent="0.2">
      <c r="A48" s="4">
        <v>50</v>
      </c>
      <c r="B48" s="4">
        <v>0</v>
      </c>
      <c r="C48" s="4">
        <v>0</v>
      </c>
      <c r="D48" s="4">
        <v>1</v>
      </c>
      <c r="E48" s="4">
        <v>206</v>
      </c>
      <c r="F48" s="4">
        <f>ROUND(Source!T27,O48)</f>
        <v>0</v>
      </c>
      <c r="G48" s="4" t="s">
        <v>65</v>
      </c>
      <c r="H48" s="4" t="s">
        <v>66</v>
      </c>
      <c r="I48" s="4"/>
      <c r="J48" s="4"/>
      <c r="K48" s="4">
        <v>206</v>
      </c>
      <c r="L48" s="4">
        <v>20</v>
      </c>
      <c r="M48" s="4">
        <v>3</v>
      </c>
      <c r="N48" s="4" t="s">
        <v>3</v>
      </c>
      <c r="O48" s="4">
        <v>0</v>
      </c>
      <c r="P48" s="4"/>
      <c r="Q48" s="4"/>
      <c r="R48" s="4"/>
      <c r="S48" s="4"/>
      <c r="T48" s="4"/>
      <c r="U48" s="4"/>
      <c r="V48" s="4"/>
      <c r="W48" s="4"/>
    </row>
    <row r="49" spans="1:206" x14ac:dyDescent="0.2">
      <c r="A49" s="4">
        <v>50</v>
      </c>
      <c r="B49" s="4">
        <v>0</v>
      </c>
      <c r="C49" s="4">
        <v>0</v>
      </c>
      <c r="D49" s="4">
        <v>1</v>
      </c>
      <c r="E49" s="4">
        <v>207</v>
      </c>
      <c r="F49" s="4">
        <f>Source!U27</f>
        <v>2892.9604559999998</v>
      </c>
      <c r="G49" s="4" t="s">
        <v>67</v>
      </c>
      <c r="H49" s="4" t="s">
        <v>68</v>
      </c>
      <c r="I49" s="4"/>
      <c r="J49" s="4"/>
      <c r="K49" s="4">
        <v>207</v>
      </c>
      <c r="L49" s="4">
        <v>21</v>
      </c>
      <c r="M49" s="4">
        <v>3</v>
      </c>
      <c r="N49" s="4" t="s">
        <v>3</v>
      </c>
      <c r="O49" s="4">
        <v>-1</v>
      </c>
      <c r="P49" s="4"/>
      <c r="Q49" s="4"/>
      <c r="R49" s="4"/>
      <c r="S49" s="4"/>
      <c r="T49" s="4"/>
      <c r="U49" s="4"/>
      <c r="V49" s="4"/>
      <c r="W49" s="4"/>
    </row>
    <row r="50" spans="1:206" x14ac:dyDescent="0.2">
      <c r="A50" s="4">
        <v>50</v>
      </c>
      <c r="B50" s="4">
        <v>0</v>
      </c>
      <c r="C50" s="4">
        <v>0</v>
      </c>
      <c r="D50" s="4">
        <v>1</v>
      </c>
      <c r="E50" s="4">
        <v>208</v>
      </c>
      <c r="F50" s="4">
        <f>Source!V27</f>
        <v>0</v>
      </c>
      <c r="G50" s="4" t="s">
        <v>69</v>
      </c>
      <c r="H50" s="4" t="s">
        <v>70</v>
      </c>
      <c r="I50" s="4"/>
      <c r="J50" s="4"/>
      <c r="K50" s="4">
        <v>208</v>
      </c>
      <c r="L50" s="4">
        <v>22</v>
      </c>
      <c r="M50" s="4">
        <v>3</v>
      </c>
      <c r="N50" s="4" t="s">
        <v>3</v>
      </c>
      <c r="O50" s="4">
        <v>-1</v>
      </c>
      <c r="P50" s="4"/>
      <c r="Q50" s="4"/>
      <c r="R50" s="4"/>
      <c r="S50" s="4"/>
      <c r="T50" s="4"/>
      <c r="U50" s="4"/>
      <c r="V50" s="4"/>
      <c r="W50" s="4"/>
    </row>
    <row r="51" spans="1:206" x14ac:dyDescent="0.2">
      <c r="A51" s="4">
        <v>50</v>
      </c>
      <c r="B51" s="4">
        <v>0</v>
      </c>
      <c r="C51" s="4">
        <v>0</v>
      </c>
      <c r="D51" s="4">
        <v>1</v>
      </c>
      <c r="E51" s="4">
        <v>209</v>
      </c>
      <c r="F51" s="4">
        <f>ROUND(Source!W27,O51)</f>
        <v>0</v>
      </c>
      <c r="G51" s="4" t="s">
        <v>71</v>
      </c>
      <c r="H51" s="4" t="s">
        <v>72</v>
      </c>
      <c r="I51" s="4"/>
      <c r="J51" s="4"/>
      <c r="K51" s="4">
        <v>209</v>
      </c>
      <c r="L51" s="4">
        <v>23</v>
      </c>
      <c r="M51" s="4">
        <v>3</v>
      </c>
      <c r="N51" s="4" t="s">
        <v>3</v>
      </c>
      <c r="O51" s="4">
        <v>0</v>
      </c>
      <c r="P51" s="4"/>
      <c r="Q51" s="4"/>
      <c r="R51" s="4"/>
      <c r="S51" s="4"/>
      <c r="T51" s="4"/>
      <c r="U51" s="4"/>
      <c r="V51" s="4"/>
      <c r="W51" s="4"/>
    </row>
    <row r="52" spans="1:206" x14ac:dyDescent="0.2">
      <c r="A52" s="4">
        <v>50</v>
      </c>
      <c r="B52" s="4">
        <v>0</v>
      </c>
      <c r="C52" s="4">
        <v>0</v>
      </c>
      <c r="D52" s="4">
        <v>1</v>
      </c>
      <c r="E52" s="4">
        <v>210</v>
      </c>
      <c r="F52" s="4">
        <f>ROUND(Source!X27,O52)</f>
        <v>437468</v>
      </c>
      <c r="G52" s="4" t="s">
        <v>73</v>
      </c>
      <c r="H52" s="4" t="s">
        <v>74</v>
      </c>
      <c r="I52" s="4"/>
      <c r="J52" s="4"/>
      <c r="K52" s="4">
        <v>210</v>
      </c>
      <c r="L52" s="4">
        <v>24</v>
      </c>
      <c r="M52" s="4">
        <v>3</v>
      </c>
      <c r="N52" s="4" t="s">
        <v>3</v>
      </c>
      <c r="O52" s="4">
        <v>0</v>
      </c>
      <c r="P52" s="4"/>
      <c r="Q52" s="4"/>
      <c r="R52" s="4"/>
      <c r="S52" s="4"/>
      <c r="T52" s="4"/>
      <c r="U52" s="4"/>
      <c r="V52" s="4"/>
      <c r="W52" s="4"/>
    </row>
    <row r="53" spans="1:206" x14ac:dyDescent="0.2">
      <c r="A53" s="4">
        <v>50</v>
      </c>
      <c r="B53" s="4">
        <v>0</v>
      </c>
      <c r="C53" s="4">
        <v>0</v>
      </c>
      <c r="D53" s="4">
        <v>1</v>
      </c>
      <c r="E53" s="4">
        <v>211</v>
      </c>
      <c r="F53" s="4">
        <f>ROUND(Source!Y27,O53)</f>
        <v>254526</v>
      </c>
      <c r="G53" s="4" t="s">
        <v>75</v>
      </c>
      <c r="H53" s="4" t="s">
        <v>76</v>
      </c>
      <c r="I53" s="4"/>
      <c r="J53" s="4"/>
      <c r="K53" s="4">
        <v>211</v>
      </c>
      <c r="L53" s="4">
        <v>25</v>
      </c>
      <c r="M53" s="4">
        <v>3</v>
      </c>
      <c r="N53" s="4" t="s">
        <v>3</v>
      </c>
      <c r="O53" s="4">
        <v>0</v>
      </c>
      <c r="P53" s="4"/>
      <c r="Q53" s="4"/>
      <c r="R53" s="4"/>
      <c r="S53" s="4"/>
      <c r="T53" s="4"/>
      <c r="U53" s="4"/>
      <c r="V53" s="4"/>
      <c r="W53" s="4"/>
    </row>
    <row r="54" spans="1:206" x14ac:dyDescent="0.2">
      <c r="A54" s="4">
        <v>50</v>
      </c>
      <c r="B54" s="4">
        <v>0</v>
      </c>
      <c r="C54" s="4">
        <v>0</v>
      </c>
      <c r="D54" s="4">
        <v>1</v>
      </c>
      <c r="E54" s="4">
        <v>224</v>
      </c>
      <c r="F54" s="4">
        <f>ROUND(Source!AR27,O54)</f>
        <v>1487390</v>
      </c>
      <c r="G54" s="4" t="s">
        <v>77</v>
      </c>
      <c r="H54" s="4" t="s">
        <v>78</v>
      </c>
      <c r="I54" s="4"/>
      <c r="J54" s="4"/>
      <c r="K54" s="4">
        <v>224</v>
      </c>
      <c r="L54" s="4">
        <v>26</v>
      </c>
      <c r="M54" s="4">
        <v>3</v>
      </c>
      <c r="N54" s="4" t="s">
        <v>3</v>
      </c>
      <c r="O54" s="4">
        <v>0</v>
      </c>
      <c r="P54" s="4"/>
      <c r="Q54" s="4"/>
      <c r="R54" s="4"/>
      <c r="S54" s="4"/>
      <c r="T54" s="4"/>
      <c r="U54" s="4"/>
      <c r="V54" s="4"/>
      <c r="W54" s="4"/>
    </row>
    <row r="55" spans="1:206" x14ac:dyDescent="0.2">
      <c r="A55" s="4">
        <v>50</v>
      </c>
      <c r="B55" s="4">
        <v>1</v>
      </c>
      <c r="C55" s="4">
        <v>0</v>
      </c>
      <c r="D55" s="4">
        <v>2</v>
      </c>
      <c r="E55" s="4">
        <v>0</v>
      </c>
      <c r="F55" s="4">
        <f>ROUND(F54-0.17,O55)</f>
        <v>1487389.83</v>
      </c>
      <c r="G55" s="4" t="s">
        <v>79</v>
      </c>
      <c r="H55" s="4" t="s">
        <v>80</v>
      </c>
      <c r="I55" s="4"/>
      <c r="J55" s="4"/>
      <c r="K55" s="4">
        <v>212</v>
      </c>
      <c r="L55" s="4">
        <v>27</v>
      </c>
      <c r="M55" s="4">
        <v>0</v>
      </c>
      <c r="N55" s="4" t="s">
        <v>3</v>
      </c>
      <c r="O55" s="4">
        <v>2</v>
      </c>
      <c r="P55" s="4"/>
      <c r="Q55" s="4"/>
      <c r="R55" s="4"/>
      <c r="S55" s="4"/>
      <c r="T55" s="4"/>
      <c r="U55" s="4"/>
      <c r="V55" s="4"/>
      <c r="W55" s="4"/>
    </row>
    <row r="56" spans="1:206" x14ac:dyDescent="0.2">
      <c r="A56" s="4">
        <v>50</v>
      </c>
      <c r="B56" s="4">
        <v>1</v>
      </c>
      <c r="C56" s="4">
        <v>0</v>
      </c>
      <c r="D56" s="4">
        <v>2</v>
      </c>
      <c r="E56" s="4">
        <v>0</v>
      </c>
      <c r="F56" s="4">
        <f>ROUND(F55*0.18,O56)</f>
        <v>267730.17</v>
      </c>
      <c r="G56" s="4" t="s">
        <v>81</v>
      </c>
      <c r="H56" s="4" t="s">
        <v>82</v>
      </c>
      <c r="I56" s="4"/>
      <c r="J56" s="4"/>
      <c r="K56" s="4">
        <v>212</v>
      </c>
      <c r="L56" s="4">
        <v>28</v>
      </c>
      <c r="M56" s="4">
        <v>0</v>
      </c>
      <c r="N56" s="4" t="s">
        <v>3</v>
      </c>
      <c r="O56" s="4">
        <v>2</v>
      </c>
      <c r="P56" s="4"/>
      <c r="Q56" s="4"/>
      <c r="R56" s="4"/>
      <c r="S56" s="4"/>
      <c r="T56" s="4"/>
      <c r="U56" s="4"/>
      <c r="V56" s="4"/>
      <c r="W56" s="4"/>
    </row>
    <row r="57" spans="1:206" x14ac:dyDescent="0.2">
      <c r="A57" s="4">
        <v>50</v>
      </c>
      <c r="B57" s="4">
        <v>1</v>
      </c>
      <c r="C57" s="4">
        <v>0</v>
      </c>
      <c r="D57" s="4">
        <v>2</v>
      </c>
      <c r="E57" s="4">
        <v>213</v>
      </c>
      <c r="F57" s="4">
        <f>ROUND(F55+F56,O57)</f>
        <v>1755120</v>
      </c>
      <c r="G57" s="4" t="s">
        <v>83</v>
      </c>
      <c r="H57" s="4" t="s">
        <v>77</v>
      </c>
      <c r="I57" s="4"/>
      <c r="J57" s="4"/>
      <c r="K57" s="4">
        <v>212</v>
      </c>
      <c r="L57" s="4">
        <v>29</v>
      </c>
      <c r="M57" s="4">
        <v>0</v>
      </c>
      <c r="N57" s="4" t="s">
        <v>3</v>
      </c>
      <c r="O57" s="4">
        <v>2</v>
      </c>
      <c r="P57" s="4"/>
      <c r="Q57" s="4"/>
      <c r="R57" s="4"/>
      <c r="S57" s="4"/>
      <c r="T57" s="4"/>
      <c r="U57" s="4"/>
      <c r="V57" s="4"/>
      <c r="W57" s="4"/>
    </row>
    <row r="59" spans="1:206" x14ac:dyDescent="0.2">
      <c r="A59" s="2">
        <v>51</v>
      </c>
      <c r="B59" s="2">
        <f>B12</f>
        <v>117</v>
      </c>
      <c r="C59" s="2">
        <f>A12</f>
        <v>1</v>
      </c>
      <c r="D59" s="2">
        <f>ROW(A12)</f>
        <v>12</v>
      </c>
      <c r="E59" s="2"/>
      <c r="F59" s="2" t="str">
        <f>IF(F12&lt;&gt;"",F12,"")</f>
        <v>Новый объект</v>
      </c>
      <c r="G59" s="2" t="str">
        <f>IF(G12&lt;&gt;"",G12,"")</f>
        <v>Пусконаладка  Пегов</v>
      </c>
      <c r="H59" s="2">
        <v>0</v>
      </c>
      <c r="I59" s="2"/>
      <c r="J59" s="2"/>
      <c r="K59" s="2"/>
      <c r="L59" s="2"/>
      <c r="M59" s="2"/>
      <c r="N59" s="2"/>
      <c r="O59" s="2">
        <f t="shared" ref="O59:T59" si="17">ROUND(O27,0)</f>
        <v>795396</v>
      </c>
      <c r="P59" s="2">
        <f t="shared" si="17"/>
        <v>0</v>
      </c>
      <c r="Q59" s="2">
        <f t="shared" si="17"/>
        <v>0</v>
      </c>
      <c r="R59" s="2">
        <f t="shared" si="17"/>
        <v>0</v>
      </c>
      <c r="S59" s="2">
        <f t="shared" si="17"/>
        <v>795396</v>
      </c>
      <c r="T59" s="2">
        <f t="shared" si="17"/>
        <v>0</v>
      </c>
      <c r="U59" s="2">
        <f>U27</f>
        <v>2892.9604559999998</v>
      </c>
      <c r="V59" s="2">
        <f>V27</f>
        <v>0</v>
      </c>
      <c r="W59" s="2">
        <f>ROUND(W27,0)</f>
        <v>0</v>
      </c>
      <c r="X59" s="2">
        <f>ROUND(X27,0)</f>
        <v>437468</v>
      </c>
      <c r="Y59" s="2">
        <f>ROUND(Y27,0)</f>
        <v>254526</v>
      </c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>
        <f t="shared" ref="AO59:BC59" si="18">ROUND(AO27,0)</f>
        <v>0</v>
      </c>
      <c r="AP59" s="2">
        <f t="shared" si="18"/>
        <v>0</v>
      </c>
      <c r="AQ59" s="2">
        <f t="shared" si="18"/>
        <v>0</v>
      </c>
      <c r="AR59" s="2">
        <f t="shared" si="18"/>
        <v>1487390</v>
      </c>
      <c r="AS59" s="2">
        <f t="shared" si="18"/>
        <v>0</v>
      </c>
      <c r="AT59" s="2">
        <f t="shared" si="18"/>
        <v>0</v>
      </c>
      <c r="AU59" s="2">
        <f t="shared" si="18"/>
        <v>1487390</v>
      </c>
      <c r="AV59" s="2">
        <f t="shared" si="18"/>
        <v>0</v>
      </c>
      <c r="AW59" s="2">
        <f t="shared" si="18"/>
        <v>0</v>
      </c>
      <c r="AX59" s="2">
        <f t="shared" si="18"/>
        <v>0</v>
      </c>
      <c r="AY59" s="2">
        <f t="shared" si="18"/>
        <v>0</v>
      </c>
      <c r="AZ59" s="2">
        <f t="shared" si="18"/>
        <v>0</v>
      </c>
      <c r="BA59" s="2">
        <f t="shared" si="18"/>
        <v>0</v>
      </c>
      <c r="BB59" s="2">
        <f t="shared" si="18"/>
        <v>0</v>
      </c>
      <c r="BC59" s="2">
        <f t="shared" si="18"/>
        <v>0</v>
      </c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>
        <v>0</v>
      </c>
    </row>
    <row r="61" spans="1:206" x14ac:dyDescent="0.2">
      <c r="A61" s="4">
        <v>50</v>
      </c>
      <c r="B61" s="4">
        <v>0</v>
      </c>
      <c r="C61" s="4">
        <v>0</v>
      </c>
      <c r="D61" s="4">
        <v>1</v>
      </c>
      <c r="E61" s="4">
        <v>201</v>
      </c>
      <c r="F61" s="4">
        <f>ROUND(Source!O59,O61)</f>
        <v>795396</v>
      </c>
      <c r="G61" s="4" t="s">
        <v>27</v>
      </c>
      <c r="H61" s="4" t="s">
        <v>28</v>
      </c>
      <c r="I61" s="4"/>
      <c r="J61" s="4"/>
      <c r="K61" s="4">
        <v>201</v>
      </c>
      <c r="L61" s="4">
        <v>1</v>
      </c>
      <c r="M61" s="4">
        <v>3</v>
      </c>
      <c r="N61" s="4" t="s">
        <v>3</v>
      </c>
      <c r="O61" s="4">
        <v>0</v>
      </c>
      <c r="P61" s="4"/>
      <c r="Q61" s="4"/>
      <c r="R61" s="4"/>
      <c r="S61" s="4"/>
      <c r="T61" s="4"/>
      <c r="U61" s="4"/>
      <c r="V61" s="4"/>
      <c r="W61" s="4"/>
    </row>
    <row r="62" spans="1:206" x14ac:dyDescent="0.2">
      <c r="A62" s="4">
        <v>50</v>
      </c>
      <c r="B62" s="4">
        <v>0</v>
      </c>
      <c r="C62" s="4">
        <v>0</v>
      </c>
      <c r="D62" s="4">
        <v>1</v>
      </c>
      <c r="E62" s="4">
        <v>202</v>
      </c>
      <c r="F62" s="4">
        <f>ROUND(Source!P59,O62)</f>
        <v>0</v>
      </c>
      <c r="G62" s="4" t="s">
        <v>29</v>
      </c>
      <c r="H62" s="4" t="s">
        <v>30</v>
      </c>
      <c r="I62" s="4"/>
      <c r="J62" s="4"/>
      <c r="K62" s="4">
        <v>202</v>
      </c>
      <c r="L62" s="4">
        <v>2</v>
      </c>
      <c r="M62" s="4">
        <v>3</v>
      </c>
      <c r="N62" s="4" t="s">
        <v>3</v>
      </c>
      <c r="O62" s="4">
        <v>0</v>
      </c>
      <c r="P62" s="4"/>
      <c r="Q62" s="4"/>
      <c r="R62" s="4"/>
      <c r="S62" s="4"/>
      <c r="T62" s="4"/>
      <c r="U62" s="4"/>
      <c r="V62" s="4"/>
      <c r="W62" s="4"/>
    </row>
    <row r="63" spans="1:206" x14ac:dyDescent="0.2">
      <c r="A63" s="4">
        <v>50</v>
      </c>
      <c r="B63" s="4">
        <v>0</v>
      </c>
      <c r="C63" s="4">
        <v>0</v>
      </c>
      <c r="D63" s="4">
        <v>1</v>
      </c>
      <c r="E63" s="4">
        <v>222</v>
      </c>
      <c r="F63" s="4">
        <f>ROUND(Source!AO59,O63)</f>
        <v>0</v>
      </c>
      <c r="G63" s="4" t="s">
        <v>31</v>
      </c>
      <c r="H63" s="4" t="s">
        <v>32</v>
      </c>
      <c r="I63" s="4"/>
      <c r="J63" s="4"/>
      <c r="K63" s="4">
        <v>222</v>
      </c>
      <c r="L63" s="4">
        <v>3</v>
      </c>
      <c r="M63" s="4">
        <v>3</v>
      </c>
      <c r="N63" s="4" t="s">
        <v>3</v>
      </c>
      <c r="O63" s="4">
        <v>0</v>
      </c>
      <c r="P63" s="4"/>
      <c r="Q63" s="4"/>
      <c r="R63" s="4"/>
      <c r="S63" s="4"/>
      <c r="T63" s="4"/>
      <c r="U63" s="4"/>
      <c r="V63" s="4"/>
      <c r="W63" s="4"/>
    </row>
    <row r="64" spans="1:206" x14ac:dyDescent="0.2">
      <c r="A64" s="4">
        <v>50</v>
      </c>
      <c r="B64" s="4">
        <v>0</v>
      </c>
      <c r="C64" s="4">
        <v>0</v>
      </c>
      <c r="D64" s="4">
        <v>1</v>
      </c>
      <c r="E64" s="4">
        <v>225</v>
      </c>
      <c r="F64" s="4">
        <f>ROUND(Source!AV59,O64)</f>
        <v>0</v>
      </c>
      <c r="G64" s="4" t="s">
        <v>33</v>
      </c>
      <c r="H64" s="4" t="s">
        <v>34</v>
      </c>
      <c r="I64" s="4"/>
      <c r="J64" s="4"/>
      <c r="K64" s="4">
        <v>225</v>
      </c>
      <c r="L64" s="4">
        <v>4</v>
      </c>
      <c r="M64" s="4">
        <v>3</v>
      </c>
      <c r="N64" s="4" t="s">
        <v>3</v>
      </c>
      <c r="O64" s="4">
        <v>0</v>
      </c>
      <c r="P64" s="4"/>
      <c r="Q64" s="4"/>
      <c r="R64" s="4"/>
      <c r="S64" s="4"/>
      <c r="T64" s="4"/>
      <c r="U64" s="4"/>
      <c r="V64" s="4"/>
      <c r="W64" s="4"/>
    </row>
    <row r="65" spans="1:23" x14ac:dyDescent="0.2">
      <c r="A65" s="4">
        <v>50</v>
      </c>
      <c r="B65" s="4">
        <v>0</v>
      </c>
      <c r="C65" s="4">
        <v>0</v>
      </c>
      <c r="D65" s="4">
        <v>1</v>
      </c>
      <c r="E65" s="4">
        <v>226</v>
      </c>
      <c r="F65" s="4">
        <f>ROUND(Source!AW59,O65)</f>
        <v>0</v>
      </c>
      <c r="G65" s="4" t="s">
        <v>35</v>
      </c>
      <c r="H65" s="4" t="s">
        <v>36</v>
      </c>
      <c r="I65" s="4"/>
      <c r="J65" s="4"/>
      <c r="K65" s="4">
        <v>226</v>
      </c>
      <c r="L65" s="4">
        <v>5</v>
      </c>
      <c r="M65" s="4">
        <v>3</v>
      </c>
      <c r="N65" s="4" t="s">
        <v>3</v>
      </c>
      <c r="O65" s="4">
        <v>0</v>
      </c>
      <c r="P65" s="4"/>
      <c r="Q65" s="4"/>
      <c r="R65" s="4"/>
      <c r="S65" s="4"/>
      <c r="T65" s="4"/>
      <c r="U65" s="4"/>
      <c r="V65" s="4"/>
      <c r="W65" s="4"/>
    </row>
    <row r="66" spans="1:23" x14ac:dyDescent="0.2">
      <c r="A66" s="4">
        <v>50</v>
      </c>
      <c r="B66" s="4">
        <v>0</v>
      </c>
      <c r="C66" s="4">
        <v>0</v>
      </c>
      <c r="D66" s="4">
        <v>1</v>
      </c>
      <c r="E66" s="4">
        <v>227</v>
      </c>
      <c r="F66" s="4">
        <f>ROUND(Source!AX59,O66)</f>
        <v>0</v>
      </c>
      <c r="G66" s="4" t="s">
        <v>37</v>
      </c>
      <c r="H66" s="4" t="s">
        <v>38</v>
      </c>
      <c r="I66" s="4"/>
      <c r="J66" s="4"/>
      <c r="K66" s="4">
        <v>227</v>
      </c>
      <c r="L66" s="4">
        <v>6</v>
      </c>
      <c r="M66" s="4">
        <v>3</v>
      </c>
      <c r="N66" s="4" t="s">
        <v>3</v>
      </c>
      <c r="O66" s="4">
        <v>0</v>
      </c>
      <c r="P66" s="4"/>
      <c r="Q66" s="4"/>
      <c r="R66" s="4"/>
      <c r="S66" s="4"/>
      <c r="T66" s="4"/>
      <c r="U66" s="4"/>
      <c r="V66" s="4"/>
      <c r="W66" s="4"/>
    </row>
    <row r="67" spans="1:23" x14ac:dyDescent="0.2">
      <c r="A67" s="4">
        <v>50</v>
      </c>
      <c r="B67" s="4">
        <v>0</v>
      </c>
      <c r="C67" s="4">
        <v>0</v>
      </c>
      <c r="D67" s="4">
        <v>1</v>
      </c>
      <c r="E67" s="4">
        <v>228</v>
      </c>
      <c r="F67" s="4">
        <f>ROUND(Source!AY59,O67)</f>
        <v>0</v>
      </c>
      <c r="G67" s="4" t="s">
        <v>39</v>
      </c>
      <c r="H67" s="4" t="s">
        <v>40</v>
      </c>
      <c r="I67" s="4"/>
      <c r="J67" s="4"/>
      <c r="K67" s="4">
        <v>228</v>
      </c>
      <c r="L67" s="4">
        <v>7</v>
      </c>
      <c r="M67" s="4">
        <v>3</v>
      </c>
      <c r="N67" s="4" t="s">
        <v>3</v>
      </c>
      <c r="O67" s="4">
        <v>0</v>
      </c>
      <c r="P67" s="4"/>
      <c r="Q67" s="4"/>
      <c r="R67" s="4"/>
      <c r="S67" s="4"/>
      <c r="T67" s="4"/>
      <c r="U67" s="4"/>
      <c r="V67" s="4"/>
      <c r="W67" s="4"/>
    </row>
    <row r="68" spans="1:23" x14ac:dyDescent="0.2">
      <c r="A68" s="4">
        <v>50</v>
      </c>
      <c r="B68" s="4">
        <v>0</v>
      </c>
      <c r="C68" s="4">
        <v>0</v>
      </c>
      <c r="D68" s="4">
        <v>1</v>
      </c>
      <c r="E68" s="4">
        <v>216</v>
      </c>
      <c r="F68" s="4">
        <f>ROUND(Source!AP59,O68)</f>
        <v>0</v>
      </c>
      <c r="G68" s="4" t="s">
        <v>41</v>
      </c>
      <c r="H68" s="4" t="s">
        <v>42</v>
      </c>
      <c r="I68" s="4"/>
      <c r="J68" s="4"/>
      <c r="K68" s="4">
        <v>216</v>
      </c>
      <c r="L68" s="4">
        <v>8</v>
      </c>
      <c r="M68" s="4">
        <v>3</v>
      </c>
      <c r="N68" s="4" t="s">
        <v>3</v>
      </c>
      <c r="O68" s="4">
        <v>0</v>
      </c>
      <c r="P68" s="4"/>
      <c r="Q68" s="4"/>
      <c r="R68" s="4"/>
      <c r="S68" s="4"/>
      <c r="T68" s="4"/>
      <c r="U68" s="4"/>
      <c r="V68" s="4"/>
      <c r="W68" s="4"/>
    </row>
    <row r="69" spans="1:23" x14ac:dyDescent="0.2">
      <c r="A69" s="4">
        <v>50</v>
      </c>
      <c r="B69" s="4">
        <v>0</v>
      </c>
      <c r="C69" s="4">
        <v>0</v>
      </c>
      <c r="D69" s="4">
        <v>1</v>
      </c>
      <c r="E69" s="4">
        <v>223</v>
      </c>
      <c r="F69" s="4">
        <f>ROUND(Source!AQ59,O69)</f>
        <v>0</v>
      </c>
      <c r="G69" s="4" t="s">
        <v>43</v>
      </c>
      <c r="H69" s="4" t="s">
        <v>44</v>
      </c>
      <c r="I69" s="4"/>
      <c r="J69" s="4"/>
      <c r="K69" s="4">
        <v>223</v>
      </c>
      <c r="L69" s="4">
        <v>9</v>
      </c>
      <c r="M69" s="4">
        <v>3</v>
      </c>
      <c r="N69" s="4" t="s">
        <v>3</v>
      </c>
      <c r="O69" s="4">
        <v>0</v>
      </c>
      <c r="P69" s="4"/>
      <c r="Q69" s="4"/>
      <c r="R69" s="4"/>
      <c r="S69" s="4"/>
      <c r="T69" s="4"/>
      <c r="U69" s="4"/>
      <c r="V69" s="4"/>
      <c r="W69" s="4"/>
    </row>
    <row r="70" spans="1:23" x14ac:dyDescent="0.2">
      <c r="A70" s="4">
        <v>50</v>
      </c>
      <c r="B70" s="4">
        <v>0</v>
      </c>
      <c r="C70" s="4">
        <v>0</v>
      </c>
      <c r="D70" s="4">
        <v>1</v>
      </c>
      <c r="E70" s="4">
        <v>229</v>
      </c>
      <c r="F70" s="4">
        <f>ROUND(Source!AZ59,O70)</f>
        <v>0</v>
      </c>
      <c r="G70" s="4" t="s">
        <v>45</v>
      </c>
      <c r="H70" s="4" t="s">
        <v>46</v>
      </c>
      <c r="I70" s="4"/>
      <c r="J70" s="4"/>
      <c r="K70" s="4">
        <v>229</v>
      </c>
      <c r="L70" s="4">
        <v>10</v>
      </c>
      <c r="M70" s="4">
        <v>3</v>
      </c>
      <c r="N70" s="4" t="s">
        <v>3</v>
      </c>
      <c r="O70" s="4">
        <v>0</v>
      </c>
      <c r="P70" s="4"/>
      <c r="Q70" s="4"/>
      <c r="R70" s="4"/>
      <c r="S70" s="4"/>
      <c r="T70" s="4"/>
      <c r="U70" s="4"/>
      <c r="V70" s="4"/>
      <c r="W70" s="4"/>
    </row>
    <row r="71" spans="1:23" x14ac:dyDescent="0.2">
      <c r="A71" s="4">
        <v>50</v>
      </c>
      <c r="B71" s="4">
        <v>0</v>
      </c>
      <c r="C71" s="4">
        <v>0</v>
      </c>
      <c r="D71" s="4">
        <v>1</v>
      </c>
      <c r="E71" s="4">
        <v>203</v>
      </c>
      <c r="F71" s="4">
        <f>ROUND(Source!Q59,O71)</f>
        <v>0</v>
      </c>
      <c r="G71" s="4" t="s">
        <v>47</v>
      </c>
      <c r="H71" s="4" t="s">
        <v>48</v>
      </c>
      <c r="I71" s="4"/>
      <c r="J71" s="4"/>
      <c r="K71" s="4">
        <v>203</v>
      </c>
      <c r="L71" s="4">
        <v>11</v>
      </c>
      <c r="M71" s="4">
        <v>3</v>
      </c>
      <c r="N71" s="4" t="s">
        <v>3</v>
      </c>
      <c r="O71" s="4">
        <v>0</v>
      </c>
      <c r="P71" s="4"/>
      <c r="Q71" s="4"/>
      <c r="R71" s="4"/>
      <c r="S71" s="4"/>
      <c r="T71" s="4"/>
      <c r="U71" s="4"/>
      <c r="V71" s="4"/>
      <c r="W71" s="4"/>
    </row>
    <row r="72" spans="1:23" x14ac:dyDescent="0.2">
      <c r="A72" s="4">
        <v>50</v>
      </c>
      <c r="B72" s="4">
        <v>0</v>
      </c>
      <c r="C72" s="4">
        <v>0</v>
      </c>
      <c r="D72" s="4">
        <v>1</v>
      </c>
      <c r="E72" s="4">
        <v>231</v>
      </c>
      <c r="F72" s="4">
        <f>ROUND(Source!BB59,O72)</f>
        <v>0</v>
      </c>
      <c r="G72" s="4" t="s">
        <v>49</v>
      </c>
      <c r="H72" s="4" t="s">
        <v>50</v>
      </c>
      <c r="I72" s="4"/>
      <c r="J72" s="4"/>
      <c r="K72" s="4">
        <v>231</v>
      </c>
      <c r="L72" s="4">
        <v>12</v>
      </c>
      <c r="M72" s="4">
        <v>3</v>
      </c>
      <c r="N72" s="4" t="s">
        <v>3</v>
      </c>
      <c r="O72" s="4">
        <v>0</v>
      </c>
      <c r="P72" s="4"/>
      <c r="Q72" s="4"/>
      <c r="R72" s="4"/>
      <c r="S72" s="4"/>
      <c r="T72" s="4"/>
      <c r="U72" s="4"/>
      <c r="V72" s="4"/>
      <c r="W72" s="4"/>
    </row>
    <row r="73" spans="1:23" x14ac:dyDescent="0.2">
      <c r="A73" s="4">
        <v>50</v>
      </c>
      <c r="B73" s="4">
        <v>0</v>
      </c>
      <c r="C73" s="4">
        <v>0</v>
      </c>
      <c r="D73" s="4">
        <v>1</v>
      </c>
      <c r="E73" s="4">
        <v>204</v>
      </c>
      <c r="F73" s="4">
        <f>ROUND(Source!R59,O73)</f>
        <v>0</v>
      </c>
      <c r="G73" s="4" t="s">
        <v>51</v>
      </c>
      <c r="H73" s="4" t="s">
        <v>52</v>
      </c>
      <c r="I73" s="4"/>
      <c r="J73" s="4"/>
      <c r="K73" s="4">
        <v>204</v>
      </c>
      <c r="L73" s="4">
        <v>13</v>
      </c>
      <c r="M73" s="4">
        <v>3</v>
      </c>
      <c r="N73" s="4" t="s">
        <v>3</v>
      </c>
      <c r="O73" s="4">
        <v>0</v>
      </c>
      <c r="P73" s="4"/>
      <c r="Q73" s="4"/>
      <c r="R73" s="4"/>
      <c r="S73" s="4"/>
      <c r="T73" s="4"/>
      <c r="U73" s="4"/>
      <c r="V73" s="4"/>
      <c r="W73" s="4"/>
    </row>
    <row r="74" spans="1:23" x14ac:dyDescent="0.2">
      <c r="A74" s="4">
        <v>50</v>
      </c>
      <c r="B74" s="4">
        <v>0</v>
      </c>
      <c r="C74" s="4">
        <v>0</v>
      </c>
      <c r="D74" s="4">
        <v>1</v>
      </c>
      <c r="E74" s="4">
        <v>205</v>
      </c>
      <c r="F74" s="4">
        <f>ROUND(Source!S59,O74)</f>
        <v>795396</v>
      </c>
      <c r="G74" s="4" t="s">
        <v>53</v>
      </c>
      <c r="H74" s="4" t="s">
        <v>54</v>
      </c>
      <c r="I74" s="4"/>
      <c r="J74" s="4"/>
      <c r="K74" s="4">
        <v>205</v>
      </c>
      <c r="L74" s="4">
        <v>14</v>
      </c>
      <c r="M74" s="4">
        <v>3</v>
      </c>
      <c r="N74" s="4" t="s">
        <v>3</v>
      </c>
      <c r="O74" s="4">
        <v>0</v>
      </c>
      <c r="P74" s="4"/>
      <c r="Q74" s="4"/>
      <c r="R74" s="4"/>
      <c r="S74" s="4"/>
      <c r="T74" s="4"/>
      <c r="U74" s="4"/>
      <c r="V74" s="4"/>
      <c r="W74" s="4"/>
    </row>
    <row r="75" spans="1:23" x14ac:dyDescent="0.2">
      <c r="A75" s="4">
        <v>50</v>
      </c>
      <c r="B75" s="4">
        <v>0</v>
      </c>
      <c r="C75" s="4">
        <v>0</v>
      </c>
      <c r="D75" s="4">
        <v>1</v>
      </c>
      <c r="E75" s="4">
        <v>232</v>
      </c>
      <c r="F75" s="4">
        <f>ROUND(Source!BC59,O75)</f>
        <v>0</v>
      </c>
      <c r="G75" s="4" t="s">
        <v>55</v>
      </c>
      <c r="H75" s="4" t="s">
        <v>56</v>
      </c>
      <c r="I75" s="4"/>
      <c r="J75" s="4"/>
      <c r="K75" s="4">
        <v>232</v>
      </c>
      <c r="L75" s="4">
        <v>15</v>
      </c>
      <c r="M75" s="4">
        <v>3</v>
      </c>
      <c r="N75" s="4" t="s">
        <v>3</v>
      </c>
      <c r="O75" s="4">
        <v>0</v>
      </c>
      <c r="P75" s="4"/>
      <c r="Q75" s="4"/>
      <c r="R75" s="4"/>
      <c r="S75" s="4"/>
      <c r="T75" s="4"/>
      <c r="U75" s="4"/>
      <c r="V75" s="4"/>
      <c r="W75" s="4"/>
    </row>
    <row r="76" spans="1:23" x14ac:dyDescent="0.2">
      <c r="A76" s="4">
        <v>50</v>
      </c>
      <c r="B76" s="4">
        <v>0</v>
      </c>
      <c r="C76" s="4">
        <v>0</v>
      </c>
      <c r="D76" s="4">
        <v>1</v>
      </c>
      <c r="E76" s="4">
        <v>214</v>
      </c>
      <c r="F76" s="4">
        <f>ROUND(Source!AS59,O76)</f>
        <v>0</v>
      </c>
      <c r="G76" s="4" t="s">
        <v>57</v>
      </c>
      <c r="H76" s="4" t="s">
        <v>58</v>
      </c>
      <c r="I76" s="4"/>
      <c r="J76" s="4"/>
      <c r="K76" s="4">
        <v>214</v>
      </c>
      <c r="L76" s="4">
        <v>16</v>
      </c>
      <c r="M76" s="4">
        <v>3</v>
      </c>
      <c r="N76" s="4" t="s">
        <v>3</v>
      </c>
      <c r="O76" s="4">
        <v>0</v>
      </c>
      <c r="P76" s="4"/>
      <c r="Q76" s="4"/>
      <c r="R76" s="4"/>
      <c r="S76" s="4"/>
      <c r="T76" s="4"/>
      <c r="U76" s="4"/>
      <c r="V76" s="4"/>
      <c r="W76" s="4"/>
    </row>
    <row r="77" spans="1:23" x14ac:dyDescent="0.2">
      <c r="A77" s="4">
        <v>50</v>
      </c>
      <c r="B77" s="4">
        <v>0</v>
      </c>
      <c r="C77" s="4">
        <v>0</v>
      </c>
      <c r="D77" s="4">
        <v>1</v>
      </c>
      <c r="E77" s="4">
        <v>215</v>
      </c>
      <c r="F77" s="4">
        <f>ROUND(Source!AT59,O77)</f>
        <v>0</v>
      </c>
      <c r="G77" s="4" t="s">
        <v>59</v>
      </c>
      <c r="H77" s="4" t="s">
        <v>60</v>
      </c>
      <c r="I77" s="4"/>
      <c r="J77" s="4"/>
      <c r="K77" s="4">
        <v>215</v>
      </c>
      <c r="L77" s="4">
        <v>17</v>
      </c>
      <c r="M77" s="4">
        <v>3</v>
      </c>
      <c r="N77" s="4" t="s">
        <v>3</v>
      </c>
      <c r="O77" s="4">
        <v>0</v>
      </c>
      <c r="P77" s="4"/>
      <c r="Q77" s="4"/>
      <c r="R77" s="4"/>
      <c r="S77" s="4"/>
      <c r="T77" s="4"/>
      <c r="U77" s="4"/>
      <c r="V77" s="4"/>
      <c r="W77" s="4"/>
    </row>
    <row r="78" spans="1:23" x14ac:dyDescent="0.2">
      <c r="A78" s="4">
        <v>50</v>
      </c>
      <c r="B78" s="4">
        <v>0</v>
      </c>
      <c r="C78" s="4">
        <v>0</v>
      </c>
      <c r="D78" s="4">
        <v>1</v>
      </c>
      <c r="E78" s="4">
        <v>217</v>
      </c>
      <c r="F78" s="4">
        <f>ROUND(Source!AU59,O78)</f>
        <v>1487390</v>
      </c>
      <c r="G78" s="4" t="s">
        <v>61</v>
      </c>
      <c r="H78" s="4" t="s">
        <v>62</v>
      </c>
      <c r="I78" s="4"/>
      <c r="J78" s="4"/>
      <c r="K78" s="4">
        <v>217</v>
      </c>
      <c r="L78" s="4">
        <v>18</v>
      </c>
      <c r="M78" s="4">
        <v>3</v>
      </c>
      <c r="N78" s="4" t="s">
        <v>3</v>
      </c>
      <c r="O78" s="4">
        <v>0</v>
      </c>
      <c r="P78" s="4"/>
      <c r="Q78" s="4"/>
      <c r="R78" s="4"/>
      <c r="S78" s="4"/>
      <c r="T78" s="4"/>
      <c r="U78" s="4"/>
      <c r="V78" s="4"/>
      <c r="W78" s="4"/>
    </row>
    <row r="79" spans="1:23" x14ac:dyDescent="0.2">
      <c r="A79" s="4">
        <v>50</v>
      </c>
      <c r="B79" s="4">
        <v>0</v>
      </c>
      <c r="C79" s="4">
        <v>0</v>
      </c>
      <c r="D79" s="4">
        <v>1</v>
      </c>
      <c r="E79" s="4">
        <v>230</v>
      </c>
      <c r="F79" s="4">
        <f>ROUND(Source!BA59,O79)</f>
        <v>0</v>
      </c>
      <c r="G79" s="4" t="s">
        <v>63</v>
      </c>
      <c r="H79" s="4" t="s">
        <v>64</v>
      </c>
      <c r="I79" s="4"/>
      <c r="J79" s="4"/>
      <c r="K79" s="4">
        <v>230</v>
      </c>
      <c r="L79" s="4">
        <v>19</v>
      </c>
      <c r="M79" s="4">
        <v>3</v>
      </c>
      <c r="N79" s="4" t="s">
        <v>3</v>
      </c>
      <c r="O79" s="4">
        <v>0</v>
      </c>
      <c r="P79" s="4"/>
      <c r="Q79" s="4"/>
      <c r="R79" s="4"/>
      <c r="S79" s="4"/>
      <c r="T79" s="4"/>
      <c r="U79" s="4"/>
      <c r="V79" s="4"/>
      <c r="W79" s="4"/>
    </row>
    <row r="80" spans="1:23" x14ac:dyDescent="0.2">
      <c r="A80" s="4">
        <v>50</v>
      </c>
      <c r="B80" s="4">
        <v>0</v>
      </c>
      <c r="C80" s="4">
        <v>0</v>
      </c>
      <c r="D80" s="4">
        <v>1</v>
      </c>
      <c r="E80" s="4">
        <v>206</v>
      </c>
      <c r="F80" s="4">
        <f>ROUND(Source!T59,O80)</f>
        <v>0</v>
      </c>
      <c r="G80" s="4" t="s">
        <v>65</v>
      </c>
      <c r="H80" s="4" t="s">
        <v>66</v>
      </c>
      <c r="I80" s="4"/>
      <c r="J80" s="4"/>
      <c r="K80" s="4">
        <v>206</v>
      </c>
      <c r="L80" s="4">
        <v>20</v>
      </c>
      <c r="M80" s="4">
        <v>3</v>
      </c>
      <c r="N80" s="4" t="s">
        <v>3</v>
      </c>
      <c r="O80" s="4">
        <v>0</v>
      </c>
      <c r="P80" s="4"/>
      <c r="Q80" s="4"/>
      <c r="R80" s="4"/>
      <c r="S80" s="4"/>
      <c r="T80" s="4"/>
      <c r="U80" s="4"/>
      <c r="V80" s="4"/>
      <c r="W80" s="4"/>
    </row>
    <row r="81" spans="1:23" x14ac:dyDescent="0.2">
      <c r="A81" s="4">
        <v>50</v>
      </c>
      <c r="B81" s="4">
        <v>0</v>
      </c>
      <c r="C81" s="4">
        <v>0</v>
      </c>
      <c r="D81" s="4">
        <v>1</v>
      </c>
      <c r="E81" s="4">
        <v>207</v>
      </c>
      <c r="F81" s="4">
        <f>Source!U59</f>
        <v>2892.9604559999998</v>
      </c>
      <c r="G81" s="4" t="s">
        <v>67</v>
      </c>
      <c r="H81" s="4" t="s">
        <v>68</v>
      </c>
      <c r="I81" s="4"/>
      <c r="J81" s="4"/>
      <c r="K81" s="4">
        <v>207</v>
      </c>
      <c r="L81" s="4">
        <v>21</v>
      </c>
      <c r="M81" s="4">
        <v>3</v>
      </c>
      <c r="N81" s="4" t="s">
        <v>3</v>
      </c>
      <c r="O81" s="4">
        <v>-1</v>
      </c>
      <c r="P81" s="4"/>
      <c r="Q81" s="4"/>
      <c r="R81" s="4"/>
      <c r="S81" s="4"/>
      <c r="T81" s="4"/>
      <c r="U81" s="4"/>
      <c r="V81" s="4"/>
      <c r="W81" s="4"/>
    </row>
    <row r="82" spans="1:23" x14ac:dyDescent="0.2">
      <c r="A82" s="4">
        <v>50</v>
      </c>
      <c r="B82" s="4">
        <v>0</v>
      </c>
      <c r="C82" s="4">
        <v>0</v>
      </c>
      <c r="D82" s="4">
        <v>1</v>
      </c>
      <c r="E82" s="4">
        <v>208</v>
      </c>
      <c r="F82" s="4">
        <f>Source!V59</f>
        <v>0</v>
      </c>
      <c r="G82" s="4" t="s">
        <v>69</v>
      </c>
      <c r="H82" s="4" t="s">
        <v>70</v>
      </c>
      <c r="I82" s="4"/>
      <c r="J82" s="4"/>
      <c r="K82" s="4">
        <v>208</v>
      </c>
      <c r="L82" s="4">
        <v>22</v>
      </c>
      <c r="M82" s="4">
        <v>3</v>
      </c>
      <c r="N82" s="4" t="s">
        <v>3</v>
      </c>
      <c r="O82" s="4">
        <v>-1</v>
      </c>
      <c r="P82" s="4"/>
      <c r="Q82" s="4"/>
      <c r="R82" s="4"/>
      <c r="S82" s="4"/>
      <c r="T82" s="4"/>
      <c r="U82" s="4"/>
      <c r="V82" s="4"/>
      <c r="W82" s="4"/>
    </row>
    <row r="83" spans="1:23" x14ac:dyDescent="0.2">
      <c r="A83" s="4">
        <v>50</v>
      </c>
      <c r="B83" s="4">
        <v>0</v>
      </c>
      <c r="C83" s="4">
        <v>0</v>
      </c>
      <c r="D83" s="4">
        <v>1</v>
      </c>
      <c r="E83" s="4">
        <v>209</v>
      </c>
      <c r="F83" s="4">
        <f>ROUND(Source!W59,O83)</f>
        <v>0</v>
      </c>
      <c r="G83" s="4" t="s">
        <v>71</v>
      </c>
      <c r="H83" s="4" t="s">
        <v>72</v>
      </c>
      <c r="I83" s="4"/>
      <c r="J83" s="4"/>
      <c r="K83" s="4">
        <v>209</v>
      </c>
      <c r="L83" s="4">
        <v>23</v>
      </c>
      <c r="M83" s="4">
        <v>3</v>
      </c>
      <c r="N83" s="4" t="s">
        <v>3</v>
      </c>
      <c r="O83" s="4">
        <v>0</v>
      </c>
      <c r="P83" s="4"/>
      <c r="Q83" s="4"/>
      <c r="R83" s="4"/>
      <c r="S83" s="4"/>
      <c r="T83" s="4"/>
      <c r="U83" s="4"/>
      <c r="V83" s="4"/>
      <c r="W83" s="4"/>
    </row>
    <row r="84" spans="1:23" x14ac:dyDescent="0.2">
      <c r="A84" s="4">
        <v>50</v>
      </c>
      <c r="B84" s="4">
        <v>0</v>
      </c>
      <c r="C84" s="4">
        <v>0</v>
      </c>
      <c r="D84" s="4">
        <v>1</v>
      </c>
      <c r="E84" s="4">
        <v>210</v>
      </c>
      <c r="F84" s="4">
        <f>ROUND(Source!X59,O84)</f>
        <v>437468</v>
      </c>
      <c r="G84" s="4" t="s">
        <v>73</v>
      </c>
      <c r="H84" s="4" t="s">
        <v>74</v>
      </c>
      <c r="I84" s="4"/>
      <c r="J84" s="4"/>
      <c r="K84" s="4">
        <v>210</v>
      </c>
      <c r="L84" s="4">
        <v>24</v>
      </c>
      <c r="M84" s="4">
        <v>3</v>
      </c>
      <c r="N84" s="4" t="s">
        <v>3</v>
      </c>
      <c r="O84" s="4">
        <v>0</v>
      </c>
      <c r="P84" s="4"/>
      <c r="Q84" s="4"/>
      <c r="R84" s="4"/>
      <c r="S84" s="4"/>
      <c r="T84" s="4"/>
      <c r="U84" s="4"/>
      <c r="V84" s="4"/>
      <c r="W84" s="4"/>
    </row>
    <row r="85" spans="1:23" x14ac:dyDescent="0.2">
      <c r="A85" s="4">
        <v>50</v>
      </c>
      <c r="B85" s="4">
        <v>0</v>
      </c>
      <c r="C85" s="4">
        <v>0</v>
      </c>
      <c r="D85" s="4">
        <v>1</v>
      </c>
      <c r="E85" s="4">
        <v>211</v>
      </c>
      <c r="F85" s="4">
        <f>ROUND(Source!Y59,O85)</f>
        <v>254526</v>
      </c>
      <c r="G85" s="4" t="s">
        <v>75</v>
      </c>
      <c r="H85" s="4" t="s">
        <v>76</v>
      </c>
      <c r="I85" s="4"/>
      <c r="J85" s="4"/>
      <c r="K85" s="4">
        <v>211</v>
      </c>
      <c r="L85" s="4">
        <v>25</v>
      </c>
      <c r="M85" s="4">
        <v>3</v>
      </c>
      <c r="N85" s="4" t="s">
        <v>3</v>
      </c>
      <c r="O85" s="4">
        <v>0</v>
      </c>
      <c r="P85" s="4"/>
      <c r="Q85" s="4"/>
      <c r="R85" s="4"/>
      <c r="S85" s="4"/>
      <c r="T85" s="4"/>
      <c r="U85" s="4"/>
      <c r="V85" s="4"/>
      <c r="W85" s="4"/>
    </row>
    <row r="86" spans="1:23" x14ac:dyDescent="0.2">
      <c r="A86" s="4">
        <v>50</v>
      </c>
      <c r="B86" s="4">
        <v>0</v>
      </c>
      <c r="C86" s="4">
        <v>0</v>
      </c>
      <c r="D86" s="4">
        <v>1</v>
      </c>
      <c r="E86" s="4">
        <v>224</v>
      </c>
      <c r="F86" s="4">
        <f>ROUND(Source!AR59,O86)</f>
        <v>1487390</v>
      </c>
      <c r="G86" s="4" t="s">
        <v>77</v>
      </c>
      <c r="H86" s="4" t="s">
        <v>78</v>
      </c>
      <c r="I86" s="4"/>
      <c r="J86" s="4"/>
      <c r="K86" s="4">
        <v>224</v>
      </c>
      <c r="L86" s="4">
        <v>26</v>
      </c>
      <c r="M86" s="4">
        <v>3</v>
      </c>
      <c r="N86" s="4" t="s">
        <v>3</v>
      </c>
      <c r="O86" s="4">
        <v>0</v>
      </c>
      <c r="P86" s="4"/>
      <c r="Q86" s="4"/>
      <c r="R86" s="4"/>
      <c r="S86" s="4"/>
      <c r="T86" s="4"/>
      <c r="U86" s="4"/>
      <c r="V86" s="4"/>
      <c r="W86" s="4"/>
    </row>
    <row r="89" spans="1:23" x14ac:dyDescent="0.2">
      <c r="A89">
        <v>70</v>
      </c>
      <c r="B89">
        <v>1</v>
      </c>
      <c r="D89">
        <v>1</v>
      </c>
      <c r="E89" t="s">
        <v>84</v>
      </c>
      <c r="F89" t="s">
        <v>85</v>
      </c>
      <c r="G89">
        <v>1</v>
      </c>
      <c r="H89">
        <v>0</v>
      </c>
      <c r="I89" t="s">
        <v>3</v>
      </c>
      <c r="J89">
        <v>1</v>
      </c>
      <c r="K89">
        <v>0</v>
      </c>
      <c r="L89" t="s">
        <v>3</v>
      </c>
      <c r="M89" t="s">
        <v>3</v>
      </c>
      <c r="N89">
        <v>0</v>
      </c>
    </row>
    <row r="90" spans="1:23" x14ac:dyDescent="0.2">
      <c r="A90">
        <v>70</v>
      </c>
      <c r="B90">
        <v>1</v>
      </c>
      <c r="D90">
        <v>2</v>
      </c>
      <c r="E90" t="s">
        <v>86</v>
      </c>
      <c r="F90" t="s">
        <v>87</v>
      </c>
      <c r="G90">
        <v>0</v>
      </c>
      <c r="H90">
        <v>0</v>
      </c>
      <c r="I90" t="s">
        <v>3</v>
      </c>
      <c r="J90">
        <v>1</v>
      </c>
      <c r="K90">
        <v>0</v>
      </c>
      <c r="L90" t="s">
        <v>3</v>
      </c>
      <c r="M90" t="s">
        <v>3</v>
      </c>
      <c r="N90">
        <v>0</v>
      </c>
    </row>
    <row r="91" spans="1:23" x14ac:dyDescent="0.2">
      <c r="A91">
        <v>70</v>
      </c>
      <c r="B91">
        <v>1</v>
      </c>
      <c r="D91">
        <v>3</v>
      </c>
      <c r="E91" t="s">
        <v>88</v>
      </c>
      <c r="F91" t="s">
        <v>89</v>
      </c>
      <c r="G91">
        <v>0</v>
      </c>
      <c r="H91">
        <v>0</v>
      </c>
      <c r="I91" t="s">
        <v>3</v>
      </c>
      <c r="J91">
        <v>1</v>
      </c>
      <c r="K91">
        <v>0</v>
      </c>
      <c r="L91" t="s">
        <v>3</v>
      </c>
      <c r="M91" t="s">
        <v>3</v>
      </c>
      <c r="N91">
        <v>0</v>
      </c>
    </row>
    <row r="92" spans="1:23" x14ac:dyDescent="0.2">
      <c r="A92">
        <v>70</v>
      </c>
      <c r="B92">
        <v>1</v>
      </c>
      <c r="D92">
        <v>4</v>
      </c>
      <c r="E92" t="s">
        <v>90</v>
      </c>
      <c r="F92" t="s">
        <v>91</v>
      </c>
      <c r="G92">
        <v>0</v>
      </c>
      <c r="H92">
        <v>0</v>
      </c>
      <c r="I92" t="s">
        <v>92</v>
      </c>
      <c r="J92">
        <v>0</v>
      </c>
      <c r="K92">
        <v>0</v>
      </c>
      <c r="L92" t="s">
        <v>3</v>
      </c>
      <c r="M92" t="s">
        <v>3</v>
      </c>
      <c r="N92">
        <v>0</v>
      </c>
    </row>
    <row r="93" spans="1:23" x14ac:dyDescent="0.2">
      <c r="A93">
        <v>70</v>
      </c>
      <c r="B93">
        <v>1</v>
      </c>
      <c r="D93">
        <v>5</v>
      </c>
      <c r="E93" t="s">
        <v>93</v>
      </c>
      <c r="F93" t="s">
        <v>94</v>
      </c>
      <c r="G93">
        <v>0</v>
      </c>
      <c r="H93">
        <v>0</v>
      </c>
      <c r="I93" t="s">
        <v>95</v>
      </c>
      <c r="J93">
        <v>0</v>
      </c>
      <c r="K93">
        <v>0</v>
      </c>
      <c r="L93" t="s">
        <v>3</v>
      </c>
      <c r="M93" t="s">
        <v>3</v>
      </c>
      <c r="N93">
        <v>0</v>
      </c>
    </row>
    <row r="94" spans="1:23" x14ac:dyDescent="0.2">
      <c r="A94">
        <v>70</v>
      </c>
      <c r="B94">
        <v>1</v>
      </c>
      <c r="D94">
        <v>6</v>
      </c>
      <c r="E94" t="s">
        <v>96</v>
      </c>
      <c r="F94" t="s">
        <v>97</v>
      </c>
      <c r="G94">
        <v>0</v>
      </c>
      <c r="H94">
        <v>0</v>
      </c>
      <c r="I94" t="s">
        <v>98</v>
      </c>
      <c r="J94">
        <v>0</v>
      </c>
      <c r="K94">
        <v>0</v>
      </c>
      <c r="L94" t="s">
        <v>3</v>
      </c>
      <c r="M94" t="s">
        <v>3</v>
      </c>
      <c r="N94">
        <v>0</v>
      </c>
    </row>
    <row r="95" spans="1:23" x14ac:dyDescent="0.2">
      <c r="A95">
        <v>70</v>
      </c>
      <c r="B95">
        <v>1</v>
      </c>
      <c r="D95">
        <v>7</v>
      </c>
      <c r="E95" t="s">
        <v>99</v>
      </c>
      <c r="F95" t="s">
        <v>100</v>
      </c>
      <c r="G95">
        <v>0</v>
      </c>
      <c r="H95">
        <v>0</v>
      </c>
      <c r="I95" t="s">
        <v>3</v>
      </c>
      <c r="J95">
        <v>0</v>
      </c>
      <c r="K95">
        <v>0</v>
      </c>
      <c r="L95" t="s">
        <v>3</v>
      </c>
      <c r="M95" t="s">
        <v>3</v>
      </c>
      <c r="N95">
        <v>0</v>
      </c>
    </row>
    <row r="96" spans="1:23" x14ac:dyDescent="0.2">
      <c r="A96">
        <v>70</v>
      </c>
      <c r="B96">
        <v>1</v>
      </c>
      <c r="D96">
        <v>8</v>
      </c>
      <c r="E96" t="s">
        <v>101</v>
      </c>
      <c r="F96" t="s">
        <v>102</v>
      </c>
      <c r="G96">
        <v>0</v>
      </c>
      <c r="H96">
        <v>0</v>
      </c>
      <c r="I96" t="s">
        <v>103</v>
      </c>
      <c r="J96">
        <v>0</v>
      </c>
      <c r="K96">
        <v>0</v>
      </c>
      <c r="L96" t="s">
        <v>3</v>
      </c>
      <c r="M96" t="s">
        <v>3</v>
      </c>
      <c r="N96">
        <v>0</v>
      </c>
    </row>
    <row r="97" spans="1:14" x14ac:dyDescent="0.2">
      <c r="A97">
        <v>70</v>
      </c>
      <c r="B97">
        <v>1</v>
      </c>
      <c r="D97">
        <v>9</v>
      </c>
      <c r="E97" t="s">
        <v>104</v>
      </c>
      <c r="F97" t="s">
        <v>105</v>
      </c>
      <c r="G97">
        <v>0</v>
      </c>
      <c r="H97">
        <v>0</v>
      </c>
      <c r="I97" t="s">
        <v>106</v>
      </c>
      <c r="J97">
        <v>0</v>
      </c>
      <c r="K97">
        <v>0</v>
      </c>
      <c r="L97" t="s">
        <v>3</v>
      </c>
      <c r="M97" t="s">
        <v>3</v>
      </c>
      <c r="N97">
        <v>0</v>
      </c>
    </row>
    <row r="98" spans="1:14" x14ac:dyDescent="0.2">
      <c r="A98">
        <v>70</v>
      </c>
      <c r="B98">
        <v>1</v>
      </c>
      <c r="D98">
        <v>10</v>
      </c>
      <c r="E98" t="s">
        <v>107</v>
      </c>
      <c r="F98" t="s">
        <v>108</v>
      </c>
      <c r="G98">
        <v>0</v>
      </c>
      <c r="H98">
        <v>0</v>
      </c>
      <c r="I98" t="s">
        <v>109</v>
      </c>
      <c r="J98">
        <v>0</v>
      </c>
      <c r="K98">
        <v>0</v>
      </c>
      <c r="L98" t="s">
        <v>3</v>
      </c>
      <c r="M98" t="s">
        <v>3</v>
      </c>
      <c r="N98">
        <v>0</v>
      </c>
    </row>
    <row r="99" spans="1:14" x14ac:dyDescent="0.2">
      <c r="A99">
        <v>70</v>
      </c>
      <c r="B99">
        <v>1</v>
      </c>
      <c r="D99">
        <v>11</v>
      </c>
      <c r="E99" t="s">
        <v>110</v>
      </c>
      <c r="F99" t="s">
        <v>111</v>
      </c>
      <c r="G99">
        <v>0</v>
      </c>
      <c r="H99">
        <v>0</v>
      </c>
      <c r="I99" t="s">
        <v>112</v>
      </c>
      <c r="J99">
        <v>0</v>
      </c>
      <c r="K99">
        <v>0</v>
      </c>
      <c r="L99" t="s">
        <v>3</v>
      </c>
      <c r="M99" t="s">
        <v>3</v>
      </c>
      <c r="N99">
        <v>0</v>
      </c>
    </row>
    <row r="100" spans="1:14" x14ac:dyDescent="0.2">
      <c r="A100">
        <v>70</v>
      </c>
      <c r="B100">
        <v>1</v>
      </c>
      <c r="D100">
        <v>12</v>
      </c>
      <c r="E100" t="s">
        <v>113</v>
      </c>
      <c r="F100" t="s">
        <v>114</v>
      </c>
      <c r="G100">
        <v>0</v>
      </c>
      <c r="H100">
        <v>0</v>
      </c>
      <c r="I100" t="s">
        <v>3</v>
      </c>
      <c r="J100">
        <v>0</v>
      </c>
      <c r="K100">
        <v>0</v>
      </c>
      <c r="L100" t="s">
        <v>3</v>
      </c>
      <c r="M100" t="s">
        <v>3</v>
      </c>
      <c r="N100">
        <v>0</v>
      </c>
    </row>
    <row r="101" spans="1:14" x14ac:dyDescent="0.2">
      <c r="A101">
        <v>70</v>
      </c>
      <c r="B101">
        <v>1</v>
      </c>
      <c r="D101">
        <v>1</v>
      </c>
      <c r="E101" t="s">
        <v>115</v>
      </c>
      <c r="F101" t="s">
        <v>116</v>
      </c>
      <c r="G101">
        <v>0.9</v>
      </c>
      <c r="H101">
        <v>1</v>
      </c>
      <c r="I101" t="s">
        <v>117</v>
      </c>
      <c r="J101">
        <v>0</v>
      </c>
      <c r="K101">
        <v>0</v>
      </c>
      <c r="L101" t="s">
        <v>3</v>
      </c>
      <c r="M101" t="s">
        <v>3</v>
      </c>
      <c r="N101">
        <v>0</v>
      </c>
    </row>
    <row r="102" spans="1:14" x14ac:dyDescent="0.2">
      <c r="A102">
        <v>70</v>
      </c>
      <c r="B102">
        <v>1</v>
      </c>
      <c r="D102">
        <v>2</v>
      </c>
      <c r="E102" t="s">
        <v>118</v>
      </c>
      <c r="F102" t="s">
        <v>119</v>
      </c>
      <c r="G102">
        <v>0.85</v>
      </c>
      <c r="H102">
        <v>1</v>
      </c>
      <c r="I102" t="s">
        <v>120</v>
      </c>
      <c r="J102">
        <v>0</v>
      </c>
      <c r="K102">
        <v>0</v>
      </c>
      <c r="L102" t="s">
        <v>3</v>
      </c>
      <c r="M102" t="s">
        <v>3</v>
      </c>
      <c r="N102">
        <v>0</v>
      </c>
    </row>
    <row r="103" spans="1:14" x14ac:dyDescent="0.2">
      <c r="A103">
        <v>70</v>
      </c>
      <c r="B103">
        <v>1</v>
      </c>
      <c r="D103">
        <v>3</v>
      </c>
      <c r="E103" t="s">
        <v>121</v>
      </c>
      <c r="F103" t="s">
        <v>122</v>
      </c>
      <c r="G103">
        <v>1</v>
      </c>
      <c r="H103">
        <v>0.85</v>
      </c>
      <c r="I103" t="s">
        <v>123</v>
      </c>
      <c r="J103">
        <v>0</v>
      </c>
      <c r="K103">
        <v>0</v>
      </c>
      <c r="L103" t="s">
        <v>3</v>
      </c>
      <c r="M103" t="s">
        <v>3</v>
      </c>
      <c r="N103">
        <v>0</v>
      </c>
    </row>
    <row r="104" spans="1:14" x14ac:dyDescent="0.2">
      <c r="A104">
        <v>70</v>
      </c>
      <c r="B104">
        <v>1</v>
      </c>
      <c r="D104">
        <v>4</v>
      </c>
      <c r="E104" t="s">
        <v>124</v>
      </c>
      <c r="F104" t="s">
        <v>125</v>
      </c>
      <c r="G104">
        <v>1</v>
      </c>
      <c r="H104">
        <v>0</v>
      </c>
      <c r="I104" t="s">
        <v>3</v>
      </c>
      <c r="J104">
        <v>0</v>
      </c>
      <c r="K104">
        <v>0</v>
      </c>
      <c r="L104" t="s">
        <v>3</v>
      </c>
      <c r="M104" t="s">
        <v>3</v>
      </c>
      <c r="N104">
        <v>0</v>
      </c>
    </row>
    <row r="105" spans="1:14" x14ac:dyDescent="0.2">
      <c r="A105">
        <v>70</v>
      </c>
      <c r="B105">
        <v>1</v>
      </c>
      <c r="D105">
        <v>5</v>
      </c>
      <c r="E105" t="s">
        <v>126</v>
      </c>
      <c r="F105" t="s">
        <v>127</v>
      </c>
      <c r="G105">
        <v>1</v>
      </c>
      <c r="H105">
        <v>0.8</v>
      </c>
      <c r="I105" t="s">
        <v>128</v>
      </c>
      <c r="J105">
        <v>0</v>
      </c>
      <c r="K105">
        <v>0</v>
      </c>
      <c r="L105" t="s">
        <v>3</v>
      </c>
      <c r="M105" t="s">
        <v>3</v>
      </c>
      <c r="N105">
        <v>0</v>
      </c>
    </row>
    <row r="106" spans="1:14" x14ac:dyDescent="0.2">
      <c r="A106">
        <v>70</v>
      </c>
      <c r="B106">
        <v>1</v>
      </c>
      <c r="D106">
        <v>6</v>
      </c>
      <c r="E106" t="s">
        <v>129</v>
      </c>
      <c r="F106" t="s">
        <v>130</v>
      </c>
      <c r="G106">
        <v>0.85</v>
      </c>
      <c r="H106">
        <v>0</v>
      </c>
      <c r="I106" t="s">
        <v>3</v>
      </c>
      <c r="J106">
        <v>0</v>
      </c>
      <c r="K106">
        <v>0</v>
      </c>
      <c r="L106" t="s">
        <v>3</v>
      </c>
      <c r="M106" t="s">
        <v>3</v>
      </c>
      <c r="N106">
        <v>0</v>
      </c>
    </row>
    <row r="107" spans="1:14" x14ac:dyDescent="0.2">
      <c r="A107">
        <v>70</v>
      </c>
      <c r="B107">
        <v>1</v>
      </c>
      <c r="D107">
        <v>7</v>
      </c>
      <c r="E107" t="s">
        <v>131</v>
      </c>
      <c r="F107" t="s">
        <v>132</v>
      </c>
      <c r="G107">
        <v>0.8</v>
      </c>
      <c r="H107">
        <v>0</v>
      </c>
      <c r="I107" t="s">
        <v>3</v>
      </c>
      <c r="J107">
        <v>0</v>
      </c>
      <c r="K107">
        <v>0</v>
      </c>
      <c r="L107" t="s">
        <v>3</v>
      </c>
      <c r="M107" t="s">
        <v>3</v>
      </c>
      <c r="N107">
        <v>0</v>
      </c>
    </row>
    <row r="108" spans="1:14" x14ac:dyDescent="0.2">
      <c r="A108">
        <v>70</v>
      </c>
      <c r="B108">
        <v>1</v>
      </c>
      <c r="D108">
        <v>8</v>
      </c>
      <c r="E108" t="s">
        <v>133</v>
      </c>
      <c r="F108" t="s">
        <v>134</v>
      </c>
      <c r="G108">
        <v>0.94</v>
      </c>
      <c r="H108">
        <v>0</v>
      </c>
      <c r="I108" t="s">
        <v>3</v>
      </c>
      <c r="J108">
        <v>0</v>
      </c>
      <c r="K108">
        <v>0</v>
      </c>
      <c r="L108" t="s">
        <v>3</v>
      </c>
      <c r="M108" t="s">
        <v>3</v>
      </c>
      <c r="N108">
        <v>0</v>
      </c>
    </row>
    <row r="109" spans="1:14" x14ac:dyDescent="0.2">
      <c r="A109">
        <v>70</v>
      </c>
      <c r="B109">
        <v>1</v>
      </c>
      <c r="D109">
        <v>9</v>
      </c>
      <c r="E109" t="s">
        <v>135</v>
      </c>
      <c r="F109" t="s">
        <v>136</v>
      </c>
      <c r="G109">
        <v>0.9</v>
      </c>
      <c r="H109">
        <v>0</v>
      </c>
      <c r="I109" t="s">
        <v>3</v>
      </c>
      <c r="J109">
        <v>0</v>
      </c>
      <c r="K109">
        <v>0</v>
      </c>
      <c r="L109" t="s">
        <v>3</v>
      </c>
      <c r="M109" t="s">
        <v>3</v>
      </c>
      <c r="N109">
        <v>0</v>
      </c>
    </row>
    <row r="110" spans="1:14" x14ac:dyDescent="0.2">
      <c r="A110">
        <v>70</v>
      </c>
      <c r="B110">
        <v>1</v>
      </c>
      <c r="D110">
        <v>10</v>
      </c>
      <c r="E110" t="s">
        <v>137</v>
      </c>
      <c r="F110" t="s">
        <v>138</v>
      </c>
      <c r="G110">
        <v>0.6</v>
      </c>
      <c r="H110">
        <v>0</v>
      </c>
      <c r="I110" t="s">
        <v>3</v>
      </c>
      <c r="J110">
        <v>0</v>
      </c>
      <c r="K110">
        <v>0</v>
      </c>
      <c r="L110" t="s">
        <v>3</v>
      </c>
      <c r="M110" t="s">
        <v>3</v>
      </c>
      <c r="N110">
        <v>0</v>
      </c>
    </row>
    <row r="111" spans="1:14" x14ac:dyDescent="0.2">
      <c r="A111">
        <v>70</v>
      </c>
      <c r="B111">
        <v>1</v>
      </c>
      <c r="D111">
        <v>11</v>
      </c>
      <c r="E111" t="s">
        <v>139</v>
      </c>
      <c r="F111" t="s">
        <v>140</v>
      </c>
      <c r="G111">
        <v>1.2</v>
      </c>
      <c r="H111">
        <v>0</v>
      </c>
      <c r="I111" t="s">
        <v>3</v>
      </c>
      <c r="J111">
        <v>0</v>
      </c>
      <c r="K111">
        <v>0</v>
      </c>
      <c r="L111" t="s">
        <v>3</v>
      </c>
      <c r="M111" t="s">
        <v>3</v>
      </c>
      <c r="N111">
        <v>0</v>
      </c>
    </row>
    <row r="112" spans="1:14" x14ac:dyDescent="0.2">
      <c r="A112">
        <v>70</v>
      </c>
      <c r="B112">
        <v>1</v>
      </c>
      <c r="D112">
        <v>12</v>
      </c>
      <c r="E112" t="s">
        <v>141</v>
      </c>
      <c r="F112" t="s">
        <v>142</v>
      </c>
      <c r="G112">
        <v>0</v>
      </c>
      <c r="H112">
        <v>0</v>
      </c>
      <c r="I112" t="s">
        <v>3</v>
      </c>
      <c r="J112">
        <v>0</v>
      </c>
      <c r="K112">
        <v>0</v>
      </c>
      <c r="L112" t="s">
        <v>3</v>
      </c>
      <c r="M112" t="s">
        <v>3</v>
      </c>
      <c r="N112">
        <v>0</v>
      </c>
    </row>
    <row r="113" spans="1:34" x14ac:dyDescent="0.2">
      <c r="A113">
        <v>70</v>
      </c>
      <c r="B113">
        <v>1</v>
      </c>
      <c r="D113">
        <v>13</v>
      </c>
      <c r="E113" t="s">
        <v>143</v>
      </c>
      <c r="F113" t="s">
        <v>144</v>
      </c>
      <c r="G113">
        <v>0.94</v>
      </c>
      <c r="H113">
        <v>0</v>
      </c>
      <c r="I113" t="s">
        <v>3</v>
      </c>
      <c r="J113">
        <v>0</v>
      </c>
      <c r="K113">
        <v>0</v>
      </c>
      <c r="L113" t="s">
        <v>3</v>
      </c>
      <c r="M113" t="s">
        <v>3</v>
      </c>
      <c r="N113">
        <v>0</v>
      </c>
    </row>
    <row r="115" spans="1:34" x14ac:dyDescent="0.2">
      <c r="A115">
        <v>-1</v>
      </c>
    </row>
    <row r="117" spans="1:34" x14ac:dyDescent="0.2">
      <c r="A117" s="3">
        <v>75</v>
      </c>
      <c r="B117" s="3" t="s">
        <v>145</v>
      </c>
      <c r="C117" s="3">
        <v>2018</v>
      </c>
      <c r="D117" s="3">
        <v>3</v>
      </c>
      <c r="E117" s="3">
        <v>0</v>
      </c>
      <c r="F117" s="3">
        <v>0</v>
      </c>
      <c r="G117" s="3">
        <v>0</v>
      </c>
      <c r="H117" s="3">
        <v>1</v>
      </c>
      <c r="I117" s="3">
        <v>0</v>
      </c>
      <c r="J117" s="3">
        <v>1</v>
      </c>
      <c r="K117" s="3">
        <v>0</v>
      </c>
      <c r="L117" s="3">
        <v>0</v>
      </c>
      <c r="M117" s="3">
        <v>0</v>
      </c>
      <c r="N117" s="3">
        <v>39625284</v>
      </c>
      <c r="O117" s="3">
        <v>1</v>
      </c>
    </row>
    <row r="118" spans="1:34" x14ac:dyDescent="0.2">
      <c r="A118" s="5">
        <v>3</v>
      </c>
      <c r="B118" s="5" t="s">
        <v>146</v>
      </c>
      <c r="C118" s="5">
        <v>1</v>
      </c>
      <c r="D118" s="5">
        <v>1</v>
      </c>
      <c r="E118" s="5">
        <v>1</v>
      </c>
      <c r="F118" s="5">
        <v>1</v>
      </c>
      <c r="G118" s="5">
        <v>1</v>
      </c>
      <c r="H118" s="5">
        <v>1</v>
      </c>
      <c r="I118" s="5">
        <v>1</v>
      </c>
      <c r="J118" s="5">
        <v>2</v>
      </c>
      <c r="K118" s="5">
        <v>19.39</v>
      </c>
      <c r="L118" s="5">
        <v>1</v>
      </c>
      <c r="M118" s="5">
        <v>1</v>
      </c>
      <c r="N118" s="5">
        <v>1</v>
      </c>
      <c r="O118" s="5">
        <v>1</v>
      </c>
      <c r="P118" s="5">
        <v>1</v>
      </c>
      <c r="Q118" s="5">
        <v>19.39</v>
      </c>
      <c r="R118" s="5">
        <v>1</v>
      </c>
      <c r="S118" s="5" t="s">
        <v>3</v>
      </c>
      <c r="T118" s="5" t="s">
        <v>3</v>
      </c>
      <c r="U118" s="5" t="s">
        <v>3</v>
      </c>
      <c r="V118" s="5" t="s">
        <v>3</v>
      </c>
      <c r="W118" s="5" t="s">
        <v>3</v>
      </c>
      <c r="X118" s="5" t="s">
        <v>3</v>
      </c>
      <c r="Y118" s="5" t="s">
        <v>3</v>
      </c>
      <c r="Z118" s="5" t="s">
        <v>3</v>
      </c>
      <c r="AA118" s="5" t="s">
        <v>3</v>
      </c>
      <c r="AB118" s="5" t="s">
        <v>3</v>
      </c>
      <c r="AC118" s="5" t="s">
        <v>3</v>
      </c>
      <c r="AD118" s="5" t="s">
        <v>3</v>
      </c>
      <c r="AE118" s="5" t="s">
        <v>3</v>
      </c>
      <c r="AF118" s="5" t="s">
        <v>3</v>
      </c>
      <c r="AG118" s="5" t="s">
        <v>3</v>
      </c>
      <c r="AH118" s="5" t="s">
        <v>3</v>
      </c>
    </row>
    <row r="122" spans="1:34" x14ac:dyDescent="0.2">
      <c r="A122">
        <v>65</v>
      </c>
      <c r="C122">
        <v>1</v>
      </c>
      <c r="D122">
        <v>0</v>
      </c>
      <c r="E122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147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  <c r="N1">
        <v>10</v>
      </c>
      <c r="O1">
        <v>1</v>
      </c>
      <c r="P1">
        <v>0</v>
      </c>
      <c r="Q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0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39625284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11</v>
      </c>
      <c r="D16" s="6" t="s">
        <v>11</v>
      </c>
      <c r="E16" s="7">
        <f>(Source!F44)/1000</f>
        <v>0</v>
      </c>
      <c r="F16" s="7">
        <f>(Source!F45)/1000</f>
        <v>0</v>
      </c>
      <c r="G16" s="7">
        <f>(Source!F36)/1000</f>
        <v>0</v>
      </c>
      <c r="H16" s="7">
        <f>(Source!F46)/1000+(Source!F47)/1000</f>
        <v>1487.39</v>
      </c>
      <c r="I16" s="7">
        <f>E16+F16+G16+H16</f>
        <v>1487.39</v>
      </c>
      <c r="J16" s="7">
        <f>(Source!F42)/1000</f>
        <v>795.39599999999996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795396</v>
      </c>
      <c r="AU16" s="7">
        <v>0</v>
      </c>
      <c r="AV16" s="7">
        <v>0</v>
      </c>
      <c r="AW16" s="7">
        <v>0</v>
      </c>
      <c r="AX16" s="7">
        <v>0</v>
      </c>
      <c r="AY16" s="7">
        <v>0</v>
      </c>
      <c r="AZ16" s="7">
        <v>0</v>
      </c>
      <c r="BA16" s="7">
        <v>795396</v>
      </c>
      <c r="BB16" s="7">
        <v>0</v>
      </c>
      <c r="BC16" s="7">
        <v>0</v>
      </c>
      <c r="BD16" s="7">
        <v>1487390</v>
      </c>
      <c r="BE16" s="7">
        <v>0</v>
      </c>
      <c r="BF16" s="7">
        <v>2892.9604559999998</v>
      </c>
      <c r="BG16" s="7">
        <v>0</v>
      </c>
      <c r="BH16" s="7">
        <v>0</v>
      </c>
      <c r="BI16" s="7">
        <v>437468</v>
      </c>
      <c r="BJ16" s="7">
        <v>254526</v>
      </c>
      <c r="BK16" s="7">
        <v>1487390</v>
      </c>
    </row>
    <row r="18" spans="1:19" x14ac:dyDescent="0.2">
      <c r="A18">
        <v>51</v>
      </c>
      <c r="E18" s="8">
        <f>SUMIF(A16:A17,3,E16:E17)</f>
        <v>0</v>
      </c>
      <c r="F18" s="8">
        <f>SUMIF(A16:A17,3,F16:F17)</f>
        <v>0</v>
      </c>
      <c r="G18" s="8">
        <f>SUMIF(A16:A17,3,G16:G17)</f>
        <v>0</v>
      </c>
      <c r="H18" s="8">
        <f>SUMIF(A16:A17,3,H16:H17)</f>
        <v>1487.39</v>
      </c>
      <c r="I18" s="8">
        <f>SUMIF(A16:A17,3,I16:I17)</f>
        <v>1487.39</v>
      </c>
      <c r="J18" s="8">
        <f>SUMIF(A16:A17,3,J16:J17)</f>
        <v>795.39599999999996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795396</v>
      </c>
      <c r="G20" s="4" t="s">
        <v>27</v>
      </c>
      <c r="H20" s="4" t="s">
        <v>28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0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0</v>
      </c>
      <c r="G21" s="4" t="s">
        <v>29</v>
      </c>
      <c r="H21" s="4" t="s">
        <v>30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0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31</v>
      </c>
      <c r="H22" s="4" t="s">
        <v>32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0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0</v>
      </c>
      <c r="G23" s="4" t="s">
        <v>33</v>
      </c>
      <c r="H23" s="4" t="s">
        <v>34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0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0</v>
      </c>
      <c r="G24" s="4" t="s">
        <v>35</v>
      </c>
      <c r="H24" s="4" t="s">
        <v>36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0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37</v>
      </c>
      <c r="H25" s="4" t="s">
        <v>38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0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0</v>
      </c>
      <c r="G26" s="4" t="s">
        <v>39</v>
      </c>
      <c r="H26" s="4" t="s">
        <v>40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0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41</v>
      </c>
      <c r="H27" s="4" t="s">
        <v>42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0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43</v>
      </c>
      <c r="H28" s="4" t="s">
        <v>44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0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45</v>
      </c>
      <c r="H29" s="4" t="s">
        <v>46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0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0</v>
      </c>
      <c r="G30" s="4" t="s">
        <v>47</v>
      </c>
      <c r="H30" s="4" t="s">
        <v>48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0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49</v>
      </c>
      <c r="H31" s="4" t="s">
        <v>50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0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0</v>
      </c>
      <c r="G32" s="4" t="s">
        <v>51</v>
      </c>
      <c r="H32" s="4" t="s">
        <v>52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0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795396</v>
      </c>
      <c r="G33" s="4" t="s">
        <v>53</v>
      </c>
      <c r="H33" s="4" t="s">
        <v>54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0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55</v>
      </c>
      <c r="H34" s="4" t="s">
        <v>56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0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0</v>
      </c>
      <c r="G35" s="4" t="s">
        <v>57</v>
      </c>
      <c r="H35" s="4" t="s">
        <v>58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0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0</v>
      </c>
      <c r="G36" s="4" t="s">
        <v>59</v>
      </c>
      <c r="H36" s="4" t="s">
        <v>60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0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1487390</v>
      </c>
      <c r="G37" s="4" t="s">
        <v>61</v>
      </c>
      <c r="H37" s="4" t="s">
        <v>62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0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63</v>
      </c>
      <c r="H38" s="4" t="s">
        <v>64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0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65</v>
      </c>
      <c r="H39" s="4" t="s">
        <v>66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0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2892.9604559999998</v>
      </c>
      <c r="G40" s="4" t="s">
        <v>67</v>
      </c>
      <c r="H40" s="4" t="s">
        <v>68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0</v>
      </c>
      <c r="G41" s="4" t="s">
        <v>69</v>
      </c>
      <c r="H41" s="4" t="s">
        <v>70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71</v>
      </c>
      <c r="H42" s="4" t="s">
        <v>72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0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437468</v>
      </c>
      <c r="G43" s="4" t="s">
        <v>73</v>
      </c>
      <c r="H43" s="4" t="s">
        <v>74</v>
      </c>
      <c r="I43" s="4"/>
      <c r="J43" s="4"/>
      <c r="K43" s="4">
        <v>210</v>
      </c>
      <c r="L43" s="4">
        <v>24</v>
      </c>
      <c r="M43" s="4">
        <v>3</v>
      </c>
      <c r="N43" s="4" t="s">
        <v>3</v>
      </c>
      <c r="O43" s="4">
        <v>0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254526</v>
      </c>
      <c r="G44" s="4" t="s">
        <v>75</v>
      </c>
      <c r="H44" s="4" t="s">
        <v>76</v>
      </c>
      <c r="I44" s="4"/>
      <c r="J44" s="4"/>
      <c r="K44" s="4">
        <v>211</v>
      </c>
      <c r="L44" s="4">
        <v>25</v>
      </c>
      <c r="M44" s="4">
        <v>3</v>
      </c>
      <c r="N44" s="4" t="s">
        <v>3</v>
      </c>
      <c r="O44" s="4">
        <v>0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1487390</v>
      </c>
      <c r="G45" s="4" t="s">
        <v>77</v>
      </c>
      <c r="H45" s="4" t="s">
        <v>78</v>
      </c>
      <c r="I45" s="4"/>
      <c r="J45" s="4"/>
      <c r="K45" s="4">
        <v>224</v>
      </c>
      <c r="L45" s="4">
        <v>26</v>
      </c>
      <c r="M45" s="4">
        <v>3</v>
      </c>
      <c r="N45" s="4" t="s">
        <v>3</v>
      </c>
      <c r="O45" s="4">
        <v>0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145</v>
      </c>
      <c r="C50" s="3">
        <v>2018</v>
      </c>
      <c r="D50" s="3">
        <v>3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39625284</v>
      </c>
      <c r="O50" s="3">
        <v>1</v>
      </c>
    </row>
    <row r="51" spans="1:34" x14ac:dyDescent="0.2">
      <c r="A51" s="5">
        <v>3</v>
      </c>
      <c r="B51" s="5" t="s">
        <v>146</v>
      </c>
      <c r="C51" s="5">
        <v>1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2</v>
      </c>
      <c r="K51" s="5">
        <v>19.39</v>
      </c>
      <c r="L51" s="5">
        <v>1</v>
      </c>
      <c r="M51" s="5">
        <v>1</v>
      </c>
      <c r="N51" s="5">
        <v>1</v>
      </c>
      <c r="O51" s="5">
        <v>1</v>
      </c>
      <c r="P51" s="5">
        <v>1</v>
      </c>
      <c r="Q51" s="5">
        <v>19.39</v>
      </c>
      <c r="R51" s="5">
        <v>1</v>
      </c>
      <c r="S51" s="5" t="s">
        <v>3</v>
      </c>
      <c r="T51" s="5" t="s">
        <v>3</v>
      </c>
      <c r="U51" s="5" t="s">
        <v>3</v>
      </c>
      <c r="V51" s="5" t="s">
        <v>3</v>
      </c>
      <c r="W51" s="5" t="s">
        <v>3</v>
      </c>
      <c r="X51" s="5" t="s">
        <v>3</v>
      </c>
      <c r="Y51" s="5" t="s">
        <v>3</v>
      </c>
      <c r="Z51" s="5" t="s">
        <v>3</v>
      </c>
      <c r="AA51" s="5" t="s">
        <v>3</v>
      </c>
      <c r="AB51" s="5" t="s">
        <v>3</v>
      </c>
      <c r="AC51" s="5" t="s">
        <v>3</v>
      </c>
      <c r="AD51" s="5" t="s">
        <v>3</v>
      </c>
      <c r="AE51" s="5" t="s">
        <v>3</v>
      </c>
      <c r="AF51" s="5" t="s">
        <v>3</v>
      </c>
      <c r="AG51" s="5" t="s">
        <v>3</v>
      </c>
      <c r="AH51" s="5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7" x14ac:dyDescent="0.2">
      <c r="A1">
        <f>ROW(Source!A24)</f>
        <v>24</v>
      </c>
      <c r="B1">
        <v>39625284</v>
      </c>
      <c r="C1">
        <v>39625329</v>
      </c>
      <c r="D1">
        <v>37519307</v>
      </c>
      <c r="E1">
        <v>1</v>
      </c>
      <c r="F1">
        <v>1</v>
      </c>
      <c r="G1">
        <v>1</v>
      </c>
      <c r="H1">
        <v>1</v>
      </c>
      <c r="I1" t="s">
        <v>148</v>
      </c>
      <c r="J1" t="s">
        <v>3</v>
      </c>
      <c r="K1" t="s">
        <v>149</v>
      </c>
      <c r="L1">
        <v>1191</v>
      </c>
      <c r="N1">
        <v>1013</v>
      </c>
      <c r="O1" t="s">
        <v>150</v>
      </c>
      <c r="P1" t="s">
        <v>150</v>
      </c>
      <c r="Q1">
        <v>1</v>
      </c>
      <c r="W1">
        <v>0</v>
      </c>
      <c r="X1">
        <v>1688654847</v>
      </c>
      <c r="Y1">
        <v>24.6</v>
      </c>
      <c r="AA1">
        <v>0</v>
      </c>
      <c r="AB1">
        <v>0</v>
      </c>
      <c r="AC1">
        <v>0</v>
      </c>
      <c r="AD1">
        <v>10.210000000000001</v>
      </c>
      <c r="AE1">
        <v>0</v>
      </c>
      <c r="AF1">
        <v>0</v>
      </c>
      <c r="AG1">
        <v>0</v>
      </c>
      <c r="AH1">
        <v>10.210000000000001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24.6</v>
      </c>
      <c r="AU1" t="s">
        <v>3</v>
      </c>
      <c r="AV1">
        <v>1</v>
      </c>
      <c r="AW1">
        <v>2</v>
      </c>
      <c r="AX1">
        <v>39625330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98.4</v>
      </c>
      <c r="CY1">
        <f t="shared" ref="CY1:CY10" si="0">AD1</f>
        <v>10.210000000000001</v>
      </c>
      <c r="CZ1">
        <f t="shared" ref="CZ1:CZ10" si="1">AH1</f>
        <v>10.210000000000001</v>
      </c>
      <c r="DA1">
        <f t="shared" ref="DA1:DA10" si="2">AL1</f>
        <v>1</v>
      </c>
      <c r="DB1">
        <f t="shared" ref="DB1:DB10" si="3">ROUND(ROUND(AT1*CZ1,2),6)</f>
        <v>251.17</v>
      </c>
      <c r="DC1">
        <f t="shared" ref="DC1:DC10" si="4">ROUND(ROUND(AT1*AG1,2),6)</f>
        <v>0</v>
      </c>
    </row>
    <row r="2" spans="1:107" x14ac:dyDescent="0.2">
      <c r="A2">
        <f>ROW(Source!A24)</f>
        <v>24</v>
      </c>
      <c r="B2">
        <v>39625284</v>
      </c>
      <c r="C2">
        <v>39625329</v>
      </c>
      <c r="D2">
        <v>37515327</v>
      </c>
      <c r="E2">
        <v>1</v>
      </c>
      <c r="F2">
        <v>1</v>
      </c>
      <c r="G2">
        <v>1</v>
      </c>
      <c r="H2">
        <v>1</v>
      </c>
      <c r="I2" t="s">
        <v>151</v>
      </c>
      <c r="J2" t="s">
        <v>3</v>
      </c>
      <c r="K2" t="s">
        <v>152</v>
      </c>
      <c r="L2">
        <v>1191</v>
      </c>
      <c r="N2">
        <v>1013</v>
      </c>
      <c r="O2" t="s">
        <v>150</v>
      </c>
      <c r="P2" t="s">
        <v>150</v>
      </c>
      <c r="Q2">
        <v>1</v>
      </c>
      <c r="W2">
        <v>0</v>
      </c>
      <c r="X2">
        <v>1675274105</v>
      </c>
      <c r="Y2">
        <v>49.2</v>
      </c>
      <c r="AA2">
        <v>0</v>
      </c>
      <c r="AB2">
        <v>0</v>
      </c>
      <c r="AC2">
        <v>0</v>
      </c>
      <c r="AD2">
        <v>16.93</v>
      </c>
      <c r="AE2">
        <v>0</v>
      </c>
      <c r="AF2">
        <v>0</v>
      </c>
      <c r="AG2">
        <v>0</v>
      </c>
      <c r="AH2">
        <v>16.93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49.2</v>
      </c>
      <c r="AU2" t="s">
        <v>3</v>
      </c>
      <c r="AV2">
        <v>1</v>
      </c>
      <c r="AW2">
        <v>2</v>
      </c>
      <c r="AX2">
        <v>39625331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196.8</v>
      </c>
      <c r="CY2">
        <f t="shared" si="0"/>
        <v>16.93</v>
      </c>
      <c r="CZ2">
        <f t="shared" si="1"/>
        <v>16.93</v>
      </c>
      <c r="DA2">
        <f t="shared" si="2"/>
        <v>1</v>
      </c>
      <c r="DB2">
        <f t="shared" si="3"/>
        <v>832.96</v>
      </c>
      <c r="DC2">
        <f t="shared" si="4"/>
        <v>0</v>
      </c>
    </row>
    <row r="3" spans="1:107" x14ac:dyDescent="0.2">
      <c r="A3">
        <f>ROW(Source!A24)</f>
        <v>24</v>
      </c>
      <c r="B3">
        <v>39625284</v>
      </c>
      <c r="C3">
        <v>39625329</v>
      </c>
      <c r="D3">
        <v>37355690</v>
      </c>
      <c r="E3">
        <v>1</v>
      </c>
      <c r="F3">
        <v>1</v>
      </c>
      <c r="G3">
        <v>1</v>
      </c>
      <c r="H3">
        <v>1</v>
      </c>
      <c r="I3" t="s">
        <v>153</v>
      </c>
      <c r="J3" t="s">
        <v>3</v>
      </c>
      <c r="K3" t="s">
        <v>154</v>
      </c>
      <c r="L3">
        <v>1191</v>
      </c>
      <c r="N3">
        <v>1013</v>
      </c>
      <c r="O3" t="s">
        <v>150</v>
      </c>
      <c r="P3" t="s">
        <v>150</v>
      </c>
      <c r="Q3">
        <v>1</v>
      </c>
      <c r="W3">
        <v>0</v>
      </c>
      <c r="X3">
        <v>-1481893445</v>
      </c>
      <c r="Y3">
        <v>98.4</v>
      </c>
      <c r="AA3">
        <v>0</v>
      </c>
      <c r="AB3">
        <v>0</v>
      </c>
      <c r="AC3">
        <v>0</v>
      </c>
      <c r="AD3">
        <v>15.49</v>
      </c>
      <c r="AE3">
        <v>0</v>
      </c>
      <c r="AF3">
        <v>0</v>
      </c>
      <c r="AG3">
        <v>0</v>
      </c>
      <c r="AH3">
        <v>15.49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98.4</v>
      </c>
      <c r="AU3" t="s">
        <v>3</v>
      </c>
      <c r="AV3">
        <v>1</v>
      </c>
      <c r="AW3">
        <v>2</v>
      </c>
      <c r="AX3">
        <v>39625332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393.6</v>
      </c>
      <c r="CY3">
        <f t="shared" si="0"/>
        <v>15.49</v>
      </c>
      <c r="CZ3">
        <f t="shared" si="1"/>
        <v>15.49</v>
      </c>
      <c r="DA3">
        <f t="shared" si="2"/>
        <v>1</v>
      </c>
      <c r="DB3">
        <f t="shared" si="3"/>
        <v>1524.22</v>
      </c>
      <c r="DC3">
        <f t="shared" si="4"/>
        <v>0</v>
      </c>
    </row>
    <row r="4" spans="1:107" x14ac:dyDescent="0.2">
      <c r="A4">
        <f>ROW(Source!A24)</f>
        <v>24</v>
      </c>
      <c r="B4">
        <v>39625284</v>
      </c>
      <c r="C4">
        <v>39625329</v>
      </c>
      <c r="D4">
        <v>37358467</v>
      </c>
      <c r="E4">
        <v>1</v>
      </c>
      <c r="F4">
        <v>1</v>
      </c>
      <c r="G4">
        <v>1</v>
      </c>
      <c r="H4">
        <v>1</v>
      </c>
      <c r="I4" t="s">
        <v>155</v>
      </c>
      <c r="J4" t="s">
        <v>3</v>
      </c>
      <c r="K4" t="s">
        <v>156</v>
      </c>
      <c r="L4">
        <v>1191</v>
      </c>
      <c r="N4">
        <v>1013</v>
      </c>
      <c r="O4" t="s">
        <v>150</v>
      </c>
      <c r="P4" t="s">
        <v>150</v>
      </c>
      <c r="Q4">
        <v>1</v>
      </c>
      <c r="W4">
        <v>0</v>
      </c>
      <c r="X4">
        <v>1658205574</v>
      </c>
      <c r="Y4">
        <v>221.4</v>
      </c>
      <c r="AA4">
        <v>0</v>
      </c>
      <c r="AB4">
        <v>0</v>
      </c>
      <c r="AC4">
        <v>0</v>
      </c>
      <c r="AD4">
        <v>14.09</v>
      </c>
      <c r="AE4">
        <v>0</v>
      </c>
      <c r="AF4">
        <v>0</v>
      </c>
      <c r="AG4">
        <v>0</v>
      </c>
      <c r="AH4">
        <v>14.09</v>
      </c>
      <c r="AI4">
        <v>1</v>
      </c>
      <c r="AJ4">
        <v>1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221.4</v>
      </c>
      <c r="AU4" t="s">
        <v>3</v>
      </c>
      <c r="AV4">
        <v>1</v>
      </c>
      <c r="AW4">
        <v>2</v>
      </c>
      <c r="AX4">
        <v>39625333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Y4*Source!I24</f>
        <v>885.6</v>
      </c>
      <c r="CY4">
        <f t="shared" si="0"/>
        <v>14.09</v>
      </c>
      <c r="CZ4">
        <f t="shared" si="1"/>
        <v>14.09</v>
      </c>
      <c r="DA4">
        <f t="shared" si="2"/>
        <v>1</v>
      </c>
      <c r="DB4">
        <f t="shared" si="3"/>
        <v>3119.53</v>
      </c>
      <c r="DC4">
        <f t="shared" si="4"/>
        <v>0</v>
      </c>
    </row>
    <row r="5" spans="1:107" x14ac:dyDescent="0.2">
      <c r="A5">
        <f>ROW(Source!A24)</f>
        <v>24</v>
      </c>
      <c r="B5">
        <v>39625284</v>
      </c>
      <c r="C5">
        <v>39625329</v>
      </c>
      <c r="D5">
        <v>37515375</v>
      </c>
      <c r="E5">
        <v>1</v>
      </c>
      <c r="F5">
        <v>1</v>
      </c>
      <c r="G5">
        <v>1</v>
      </c>
      <c r="H5">
        <v>1</v>
      </c>
      <c r="I5" t="s">
        <v>157</v>
      </c>
      <c r="J5" t="s">
        <v>3</v>
      </c>
      <c r="K5" t="s">
        <v>158</v>
      </c>
      <c r="L5">
        <v>1191</v>
      </c>
      <c r="N5">
        <v>1013</v>
      </c>
      <c r="O5" t="s">
        <v>150</v>
      </c>
      <c r="P5" t="s">
        <v>150</v>
      </c>
      <c r="Q5">
        <v>1</v>
      </c>
      <c r="W5">
        <v>0</v>
      </c>
      <c r="X5">
        <v>848708738</v>
      </c>
      <c r="Y5">
        <v>98.4</v>
      </c>
      <c r="AA5">
        <v>0</v>
      </c>
      <c r="AB5">
        <v>0</v>
      </c>
      <c r="AC5">
        <v>0</v>
      </c>
      <c r="AD5">
        <v>12.69</v>
      </c>
      <c r="AE5">
        <v>0</v>
      </c>
      <c r="AF5">
        <v>0</v>
      </c>
      <c r="AG5">
        <v>0</v>
      </c>
      <c r="AH5">
        <v>12.69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3</v>
      </c>
      <c r="AT5">
        <v>98.4</v>
      </c>
      <c r="AU5" t="s">
        <v>3</v>
      </c>
      <c r="AV5">
        <v>1</v>
      </c>
      <c r="AW5">
        <v>2</v>
      </c>
      <c r="AX5">
        <v>39625334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Y5*Source!I24</f>
        <v>393.6</v>
      </c>
      <c r="CY5">
        <f t="shared" si="0"/>
        <v>12.69</v>
      </c>
      <c r="CZ5">
        <f t="shared" si="1"/>
        <v>12.69</v>
      </c>
      <c r="DA5">
        <f t="shared" si="2"/>
        <v>1</v>
      </c>
      <c r="DB5">
        <f t="shared" si="3"/>
        <v>1248.7</v>
      </c>
      <c r="DC5">
        <f t="shared" si="4"/>
        <v>0</v>
      </c>
    </row>
    <row r="6" spans="1:107" x14ac:dyDescent="0.2">
      <c r="A6">
        <f>ROW(Source!A25)</f>
        <v>25</v>
      </c>
      <c r="B6">
        <v>39625284</v>
      </c>
      <c r="C6">
        <v>39625335</v>
      </c>
      <c r="D6">
        <v>37519307</v>
      </c>
      <c r="E6">
        <v>1</v>
      </c>
      <c r="F6">
        <v>1</v>
      </c>
      <c r="G6">
        <v>1</v>
      </c>
      <c r="H6">
        <v>1</v>
      </c>
      <c r="I6" t="s">
        <v>148</v>
      </c>
      <c r="J6" t="s">
        <v>3</v>
      </c>
      <c r="K6" t="s">
        <v>149</v>
      </c>
      <c r="L6">
        <v>1191</v>
      </c>
      <c r="N6">
        <v>1013</v>
      </c>
      <c r="O6" t="s">
        <v>150</v>
      </c>
      <c r="P6" t="s">
        <v>150</v>
      </c>
      <c r="Q6">
        <v>1</v>
      </c>
      <c r="W6">
        <v>0</v>
      </c>
      <c r="X6">
        <v>1688654847</v>
      </c>
      <c r="Y6">
        <v>0.29399999999999998</v>
      </c>
      <c r="AA6">
        <v>0</v>
      </c>
      <c r="AB6">
        <v>0</v>
      </c>
      <c r="AC6">
        <v>0</v>
      </c>
      <c r="AD6">
        <v>10.210000000000001</v>
      </c>
      <c r="AE6">
        <v>0</v>
      </c>
      <c r="AF6">
        <v>0</v>
      </c>
      <c r="AG6">
        <v>0</v>
      </c>
      <c r="AH6">
        <v>10.210000000000001</v>
      </c>
      <c r="AI6">
        <v>1</v>
      </c>
      <c r="AJ6">
        <v>1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0.29399999999999998</v>
      </c>
      <c r="AU6" t="s">
        <v>3</v>
      </c>
      <c r="AV6">
        <v>1</v>
      </c>
      <c r="AW6">
        <v>2</v>
      </c>
      <c r="AX6">
        <v>39625336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Y6*Source!I25</f>
        <v>46.248022799999994</v>
      </c>
      <c r="CY6">
        <f t="shared" si="0"/>
        <v>10.210000000000001</v>
      </c>
      <c r="CZ6">
        <f t="shared" si="1"/>
        <v>10.210000000000001</v>
      </c>
      <c r="DA6">
        <f t="shared" si="2"/>
        <v>1</v>
      </c>
      <c r="DB6">
        <f t="shared" si="3"/>
        <v>3</v>
      </c>
      <c r="DC6">
        <f t="shared" si="4"/>
        <v>0</v>
      </c>
    </row>
    <row r="7" spans="1:107" x14ac:dyDescent="0.2">
      <c r="A7">
        <f>ROW(Source!A25)</f>
        <v>25</v>
      </c>
      <c r="B7">
        <v>39625284</v>
      </c>
      <c r="C7">
        <v>39625335</v>
      </c>
      <c r="D7">
        <v>37515327</v>
      </c>
      <c r="E7">
        <v>1</v>
      </c>
      <c r="F7">
        <v>1</v>
      </c>
      <c r="G7">
        <v>1</v>
      </c>
      <c r="H7">
        <v>1</v>
      </c>
      <c r="I7" t="s">
        <v>151</v>
      </c>
      <c r="J7" t="s">
        <v>3</v>
      </c>
      <c r="K7" t="s">
        <v>152</v>
      </c>
      <c r="L7">
        <v>1191</v>
      </c>
      <c r="N7">
        <v>1013</v>
      </c>
      <c r="O7" t="s">
        <v>150</v>
      </c>
      <c r="P7" t="s">
        <v>150</v>
      </c>
      <c r="Q7">
        <v>1</v>
      </c>
      <c r="W7">
        <v>0</v>
      </c>
      <c r="X7">
        <v>1675274105</v>
      </c>
      <c r="Y7">
        <v>0.58799999999999997</v>
      </c>
      <c r="AA7">
        <v>0</v>
      </c>
      <c r="AB7">
        <v>0</v>
      </c>
      <c r="AC7">
        <v>0</v>
      </c>
      <c r="AD7">
        <v>16.93</v>
      </c>
      <c r="AE7">
        <v>0</v>
      </c>
      <c r="AF7">
        <v>0</v>
      </c>
      <c r="AG7">
        <v>0</v>
      </c>
      <c r="AH7">
        <v>16.93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3</v>
      </c>
      <c r="AT7">
        <v>0.58799999999999997</v>
      </c>
      <c r="AU7" t="s">
        <v>3</v>
      </c>
      <c r="AV7">
        <v>1</v>
      </c>
      <c r="AW7">
        <v>2</v>
      </c>
      <c r="AX7">
        <v>39625337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Y7*Source!I25</f>
        <v>92.496045599999988</v>
      </c>
      <c r="CY7">
        <f t="shared" si="0"/>
        <v>16.93</v>
      </c>
      <c r="CZ7">
        <f t="shared" si="1"/>
        <v>16.93</v>
      </c>
      <c r="DA7">
        <f t="shared" si="2"/>
        <v>1</v>
      </c>
      <c r="DB7">
        <f t="shared" si="3"/>
        <v>9.9499999999999993</v>
      </c>
      <c r="DC7">
        <f t="shared" si="4"/>
        <v>0</v>
      </c>
    </row>
    <row r="8" spans="1:107" x14ac:dyDescent="0.2">
      <c r="A8">
        <f>ROW(Source!A25)</f>
        <v>25</v>
      </c>
      <c r="B8">
        <v>39625284</v>
      </c>
      <c r="C8">
        <v>39625335</v>
      </c>
      <c r="D8">
        <v>37355690</v>
      </c>
      <c r="E8">
        <v>1</v>
      </c>
      <c r="F8">
        <v>1</v>
      </c>
      <c r="G8">
        <v>1</v>
      </c>
      <c r="H8">
        <v>1</v>
      </c>
      <c r="I8" t="s">
        <v>153</v>
      </c>
      <c r="J8" t="s">
        <v>3</v>
      </c>
      <c r="K8" t="s">
        <v>154</v>
      </c>
      <c r="L8">
        <v>1191</v>
      </c>
      <c r="N8">
        <v>1013</v>
      </c>
      <c r="O8" t="s">
        <v>150</v>
      </c>
      <c r="P8" t="s">
        <v>150</v>
      </c>
      <c r="Q8">
        <v>1</v>
      </c>
      <c r="W8">
        <v>0</v>
      </c>
      <c r="X8">
        <v>-1481893445</v>
      </c>
      <c r="Y8">
        <v>1.1759999999999999</v>
      </c>
      <c r="AA8">
        <v>0</v>
      </c>
      <c r="AB8">
        <v>0</v>
      </c>
      <c r="AC8">
        <v>0</v>
      </c>
      <c r="AD8">
        <v>15.49</v>
      </c>
      <c r="AE8">
        <v>0</v>
      </c>
      <c r="AF8">
        <v>0</v>
      </c>
      <c r="AG8">
        <v>0</v>
      </c>
      <c r="AH8">
        <v>15.49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3</v>
      </c>
      <c r="AT8">
        <v>1.1759999999999999</v>
      </c>
      <c r="AU8" t="s">
        <v>3</v>
      </c>
      <c r="AV8">
        <v>1</v>
      </c>
      <c r="AW8">
        <v>2</v>
      </c>
      <c r="AX8">
        <v>39625338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Y8*Source!I25</f>
        <v>184.99209119999998</v>
      </c>
      <c r="CY8">
        <f t="shared" si="0"/>
        <v>15.49</v>
      </c>
      <c r="CZ8">
        <f t="shared" si="1"/>
        <v>15.49</v>
      </c>
      <c r="DA8">
        <f t="shared" si="2"/>
        <v>1</v>
      </c>
      <c r="DB8">
        <f t="shared" si="3"/>
        <v>18.22</v>
      </c>
      <c r="DC8">
        <f t="shared" si="4"/>
        <v>0</v>
      </c>
    </row>
    <row r="9" spans="1:107" x14ac:dyDescent="0.2">
      <c r="A9">
        <f>ROW(Source!A25)</f>
        <v>25</v>
      </c>
      <c r="B9">
        <v>39625284</v>
      </c>
      <c r="C9">
        <v>39625335</v>
      </c>
      <c r="D9">
        <v>37358467</v>
      </c>
      <c r="E9">
        <v>1</v>
      </c>
      <c r="F9">
        <v>1</v>
      </c>
      <c r="G9">
        <v>1</v>
      </c>
      <c r="H9">
        <v>1</v>
      </c>
      <c r="I9" t="s">
        <v>155</v>
      </c>
      <c r="J9" t="s">
        <v>3</v>
      </c>
      <c r="K9" t="s">
        <v>156</v>
      </c>
      <c r="L9">
        <v>1191</v>
      </c>
      <c r="N9">
        <v>1013</v>
      </c>
      <c r="O9" t="s">
        <v>150</v>
      </c>
      <c r="P9" t="s">
        <v>150</v>
      </c>
      <c r="Q9">
        <v>1</v>
      </c>
      <c r="W9">
        <v>0</v>
      </c>
      <c r="X9">
        <v>1658205574</v>
      </c>
      <c r="Y9">
        <v>2.6459999999999999</v>
      </c>
      <c r="AA9">
        <v>0</v>
      </c>
      <c r="AB9">
        <v>0</v>
      </c>
      <c r="AC9">
        <v>0</v>
      </c>
      <c r="AD9">
        <v>14.09</v>
      </c>
      <c r="AE9">
        <v>0</v>
      </c>
      <c r="AF9">
        <v>0</v>
      </c>
      <c r="AG9">
        <v>0</v>
      </c>
      <c r="AH9">
        <v>14.09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2.6459999999999999</v>
      </c>
      <c r="AU9" t="s">
        <v>3</v>
      </c>
      <c r="AV9">
        <v>1</v>
      </c>
      <c r="AW9">
        <v>2</v>
      </c>
      <c r="AX9">
        <v>39625339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Y9*Source!I25</f>
        <v>416.23220519999995</v>
      </c>
      <c r="CY9">
        <f t="shared" si="0"/>
        <v>14.09</v>
      </c>
      <c r="CZ9">
        <f t="shared" si="1"/>
        <v>14.09</v>
      </c>
      <c r="DA9">
        <f t="shared" si="2"/>
        <v>1</v>
      </c>
      <c r="DB9">
        <f t="shared" si="3"/>
        <v>37.28</v>
      </c>
      <c r="DC9">
        <f t="shared" si="4"/>
        <v>0</v>
      </c>
    </row>
    <row r="10" spans="1:107" x14ac:dyDescent="0.2">
      <c r="A10">
        <f>ROW(Source!A25)</f>
        <v>25</v>
      </c>
      <c r="B10">
        <v>39625284</v>
      </c>
      <c r="C10">
        <v>39625335</v>
      </c>
      <c r="D10">
        <v>37515375</v>
      </c>
      <c r="E10">
        <v>1</v>
      </c>
      <c r="F10">
        <v>1</v>
      </c>
      <c r="G10">
        <v>1</v>
      </c>
      <c r="H10">
        <v>1</v>
      </c>
      <c r="I10" t="s">
        <v>157</v>
      </c>
      <c r="J10" t="s">
        <v>3</v>
      </c>
      <c r="K10" t="s">
        <v>158</v>
      </c>
      <c r="L10">
        <v>1191</v>
      </c>
      <c r="N10">
        <v>1013</v>
      </c>
      <c r="O10" t="s">
        <v>150</v>
      </c>
      <c r="P10" t="s">
        <v>150</v>
      </c>
      <c r="Q10">
        <v>1</v>
      </c>
      <c r="W10">
        <v>0</v>
      </c>
      <c r="X10">
        <v>848708738</v>
      </c>
      <c r="Y10">
        <v>1.1759999999999999</v>
      </c>
      <c r="AA10">
        <v>0</v>
      </c>
      <c r="AB10">
        <v>0</v>
      </c>
      <c r="AC10">
        <v>0</v>
      </c>
      <c r="AD10">
        <v>12.69</v>
      </c>
      <c r="AE10">
        <v>0</v>
      </c>
      <c r="AF10">
        <v>0</v>
      </c>
      <c r="AG10">
        <v>0</v>
      </c>
      <c r="AH10">
        <v>12.69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1.1759999999999999</v>
      </c>
      <c r="AU10" t="s">
        <v>3</v>
      </c>
      <c r="AV10">
        <v>1</v>
      </c>
      <c r="AW10">
        <v>2</v>
      </c>
      <c r="AX10">
        <v>39625340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Y10*Source!I25</f>
        <v>184.99209119999998</v>
      </c>
      <c r="CY10">
        <f t="shared" si="0"/>
        <v>12.69</v>
      </c>
      <c r="CZ10">
        <f t="shared" si="1"/>
        <v>12.69</v>
      </c>
      <c r="DA10">
        <f t="shared" si="2"/>
        <v>1</v>
      </c>
      <c r="DB10">
        <f t="shared" si="3"/>
        <v>14.92</v>
      </c>
      <c r="DC10">
        <f t="shared" si="4"/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39625330</v>
      </c>
      <c r="C1">
        <v>39625329</v>
      </c>
      <c r="D1">
        <v>37519307</v>
      </c>
      <c r="E1">
        <v>1</v>
      </c>
      <c r="F1">
        <v>1</v>
      </c>
      <c r="G1">
        <v>1</v>
      </c>
      <c r="H1">
        <v>1</v>
      </c>
      <c r="I1" t="s">
        <v>148</v>
      </c>
      <c r="J1" t="s">
        <v>3</v>
      </c>
      <c r="K1" t="s">
        <v>149</v>
      </c>
      <c r="L1">
        <v>1191</v>
      </c>
      <c r="N1">
        <v>1013</v>
      </c>
      <c r="O1" t="s">
        <v>150</v>
      </c>
      <c r="P1" t="s">
        <v>150</v>
      </c>
      <c r="Q1">
        <v>1</v>
      </c>
      <c r="X1">
        <v>24.6</v>
      </c>
      <c r="Y1">
        <v>0</v>
      </c>
      <c r="Z1">
        <v>0</v>
      </c>
      <c r="AA1">
        <v>0</v>
      </c>
      <c r="AB1">
        <v>10.210000000000001</v>
      </c>
      <c r="AC1">
        <v>0</v>
      </c>
      <c r="AD1">
        <v>1</v>
      </c>
      <c r="AE1">
        <v>1</v>
      </c>
      <c r="AF1" t="s">
        <v>3</v>
      </c>
      <c r="AG1">
        <v>24.6</v>
      </c>
      <c r="AH1">
        <v>2</v>
      </c>
      <c r="AI1">
        <v>39625330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39625331</v>
      </c>
      <c r="C2">
        <v>39625329</v>
      </c>
      <c r="D2">
        <v>37515327</v>
      </c>
      <c r="E2">
        <v>1</v>
      </c>
      <c r="F2">
        <v>1</v>
      </c>
      <c r="G2">
        <v>1</v>
      </c>
      <c r="H2">
        <v>1</v>
      </c>
      <c r="I2" t="s">
        <v>151</v>
      </c>
      <c r="J2" t="s">
        <v>3</v>
      </c>
      <c r="K2" t="s">
        <v>152</v>
      </c>
      <c r="L2">
        <v>1191</v>
      </c>
      <c r="N2">
        <v>1013</v>
      </c>
      <c r="O2" t="s">
        <v>150</v>
      </c>
      <c r="P2" t="s">
        <v>150</v>
      </c>
      <c r="Q2">
        <v>1</v>
      </c>
      <c r="X2">
        <v>49.2</v>
      </c>
      <c r="Y2">
        <v>0</v>
      </c>
      <c r="Z2">
        <v>0</v>
      </c>
      <c r="AA2">
        <v>0</v>
      </c>
      <c r="AB2">
        <v>16.93</v>
      </c>
      <c r="AC2">
        <v>0</v>
      </c>
      <c r="AD2">
        <v>1</v>
      </c>
      <c r="AE2">
        <v>1</v>
      </c>
      <c r="AF2" t="s">
        <v>3</v>
      </c>
      <c r="AG2">
        <v>49.2</v>
      </c>
      <c r="AH2">
        <v>2</v>
      </c>
      <c r="AI2">
        <v>39625331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ROW(Source!A24)</f>
        <v>24</v>
      </c>
      <c r="B3">
        <v>39625332</v>
      </c>
      <c r="C3">
        <v>39625329</v>
      </c>
      <c r="D3">
        <v>37355690</v>
      </c>
      <c r="E3">
        <v>1</v>
      </c>
      <c r="F3">
        <v>1</v>
      </c>
      <c r="G3">
        <v>1</v>
      </c>
      <c r="H3">
        <v>1</v>
      </c>
      <c r="I3" t="s">
        <v>153</v>
      </c>
      <c r="J3" t="s">
        <v>3</v>
      </c>
      <c r="K3" t="s">
        <v>154</v>
      </c>
      <c r="L3">
        <v>1191</v>
      </c>
      <c r="N3">
        <v>1013</v>
      </c>
      <c r="O3" t="s">
        <v>150</v>
      </c>
      <c r="P3" t="s">
        <v>150</v>
      </c>
      <c r="Q3">
        <v>1</v>
      </c>
      <c r="X3">
        <v>98.4</v>
      </c>
      <c r="Y3">
        <v>0</v>
      </c>
      <c r="Z3">
        <v>0</v>
      </c>
      <c r="AA3">
        <v>0</v>
      </c>
      <c r="AB3">
        <v>15.49</v>
      </c>
      <c r="AC3">
        <v>0</v>
      </c>
      <c r="AD3">
        <v>1</v>
      </c>
      <c r="AE3">
        <v>1</v>
      </c>
      <c r="AF3" t="s">
        <v>3</v>
      </c>
      <c r="AG3">
        <v>98.4</v>
      </c>
      <c r="AH3">
        <v>2</v>
      </c>
      <c r="AI3">
        <v>39625332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ROW(Source!A24)</f>
        <v>24</v>
      </c>
      <c r="B4">
        <v>39625333</v>
      </c>
      <c r="C4">
        <v>39625329</v>
      </c>
      <c r="D4">
        <v>37358467</v>
      </c>
      <c r="E4">
        <v>1</v>
      </c>
      <c r="F4">
        <v>1</v>
      </c>
      <c r="G4">
        <v>1</v>
      </c>
      <c r="H4">
        <v>1</v>
      </c>
      <c r="I4" t="s">
        <v>155</v>
      </c>
      <c r="J4" t="s">
        <v>3</v>
      </c>
      <c r="K4" t="s">
        <v>156</v>
      </c>
      <c r="L4">
        <v>1191</v>
      </c>
      <c r="N4">
        <v>1013</v>
      </c>
      <c r="O4" t="s">
        <v>150</v>
      </c>
      <c r="P4" t="s">
        <v>150</v>
      </c>
      <c r="Q4">
        <v>1</v>
      </c>
      <c r="X4">
        <v>221.4</v>
      </c>
      <c r="Y4">
        <v>0</v>
      </c>
      <c r="Z4">
        <v>0</v>
      </c>
      <c r="AA4">
        <v>0</v>
      </c>
      <c r="AB4">
        <v>14.09</v>
      </c>
      <c r="AC4">
        <v>0</v>
      </c>
      <c r="AD4">
        <v>1</v>
      </c>
      <c r="AE4">
        <v>1</v>
      </c>
      <c r="AF4" t="s">
        <v>3</v>
      </c>
      <c r="AG4">
        <v>221.4</v>
      </c>
      <c r="AH4">
        <v>2</v>
      </c>
      <c r="AI4">
        <v>39625333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ROW(Source!A24)</f>
        <v>24</v>
      </c>
      <c r="B5">
        <v>39625334</v>
      </c>
      <c r="C5">
        <v>39625329</v>
      </c>
      <c r="D5">
        <v>37515375</v>
      </c>
      <c r="E5">
        <v>1</v>
      </c>
      <c r="F5">
        <v>1</v>
      </c>
      <c r="G5">
        <v>1</v>
      </c>
      <c r="H5">
        <v>1</v>
      </c>
      <c r="I5" t="s">
        <v>157</v>
      </c>
      <c r="J5" t="s">
        <v>3</v>
      </c>
      <c r="K5" t="s">
        <v>158</v>
      </c>
      <c r="L5">
        <v>1191</v>
      </c>
      <c r="N5">
        <v>1013</v>
      </c>
      <c r="O5" t="s">
        <v>150</v>
      </c>
      <c r="P5" t="s">
        <v>150</v>
      </c>
      <c r="Q5">
        <v>1</v>
      </c>
      <c r="X5">
        <v>98.4</v>
      </c>
      <c r="Y5">
        <v>0</v>
      </c>
      <c r="Z5">
        <v>0</v>
      </c>
      <c r="AA5">
        <v>0</v>
      </c>
      <c r="AB5">
        <v>12.69</v>
      </c>
      <c r="AC5">
        <v>0</v>
      </c>
      <c r="AD5">
        <v>1</v>
      </c>
      <c r="AE5">
        <v>1</v>
      </c>
      <c r="AF5" t="s">
        <v>3</v>
      </c>
      <c r="AG5">
        <v>98.4</v>
      </c>
      <c r="AH5">
        <v>2</v>
      </c>
      <c r="AI5">
        <v>39625334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ROW(Source!A25)</f>
        <v>25</v>
      </c>
      <c r="B6">
        <v>39625336</v>
      </c>
      <c r="C6">
        <v>39625335</v>
      </c>
      <c r="D6">
        <v>37519307</v>
      </c>
      <c r="E6">
        <v>1</v>
      </c>
      <c r="F6">
        <v>1</v>
      </c>
      <c r="G6">
        <v>1</v>
      </c>
      <c r="H6">
        <v>1</v>
      </c>
      <c r="I6" t="s">
        <v>148</v>
      </c>
      <c r="J6" t="s">
        <v>3</v>
      </c>
      <c r="K6" t="s">
        <v>149</v>
      </c>
      <c r="L6">
        <v>1191</v>
      </c>
      <c r="N6">
        <v>1013</v>
      </c>
      <c r="O6" t="s">
        <v>150</v>
      </c>
      <c r="P6" t="s">
        <v>150</v>
      </c>
      <c r="Q6">
        <v>1</v>
      </c>
      <c r="X6">
        <v>0.29399999999999998</v>
      </c>
      <c r="Y6">
        <v>0</v>
      </c>
      <c r="Z6">
        <v>0</v>
      </c>
      <c r="AA6">
        <v>0</v>
      </c>
      <c r="AB6">
        <v>10.210000000000001</v>
      </c>
      <c r="AC6">
        <v>0</v>
      </c>
      <c r="AD6">
        <v>1</v>
      </c>
      <c r="AE6">
        <v>1</v>
      </c>
      <c r="AF6" t="s">
        <v>3</v>
      </c>
      <c r="AG6">
        <v>0.29399999999999998</v>
      </c>
      <c r="AH6">
        <v>2</v>
      </c>
      <c r="AI6">
        <v>39625336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ROW(Source!A25)</f>
        <v>25</v>
      </c>
      <c r="B7">
        <v>39625337</v>
      </c>
      <c r="C7">
        <v>39625335</v>
      </c>
      <c r="D7">
        <v>37515327</v>
      </c>
      <c r="E7">
        <v>1</v>
      </c>
      <c r="F7">
        <v>1</v>
      </c>
      <c r="G7">
        <v>1</v>
      </c>
      <c r="H7">
        <v>1</v>
      </c>
      <c r="I7" t="s">
        <v>151</v>
      </c>
      <c r="J7" t="s">
        <v>3</v>
      </c>
      <c r="K7" t="s">
        <v>152</v>
      </c>
      <c r="L7">
        <v>1191</v>
      </c>
      <c r="N7">
        <v>1013</v>
      </c>
      <c r="O7" t="s">
        <v>150</v>
      </c>
      <c r="P7" t="s">
        <v>150</v>
      </c>
      <c r="Q7">
        <v>1</v>
      </c>
      <c r="X7">
        <v>0.58799999999999997</v>
      </c>
      <c r="Y7">
        <v>0</v>
      </c>
      <c r="Z7">
        <v>0</v>
      </c>
      <c r="AA7">
        <v>0</v>
      </c>
      <c r="AB7">
        <v>16.93</v>
      </c>
      <c r="AC7">
        <v>0</v>
      </c>
      <c r="AD7">
        <v>1</v>
      </c>
      <c r="AE7">
        <v>1</v>
      </c>
      <c r="AF7" t="s">
        <v>3</v>
      </c>
      <c r="AG7">
        <v>0.58799999999999997</v>
      </c>
      <c r="AH7">
        <v>2</v>
      </c>
      <c r="AI7">
        <v>39625337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ROW(Source!A25)</f>
        <v>25</v>
      </c>
      <c r="B8">
        <v>39625338</v>
      </c>
      <c r="C8">
        <v>39625335</v>
      </c>
      <c r="D8">
        <v>37355690</v>
      </c>
      <c r="E8">
        <v>1</v>
      </c>
      <c r="F8">
        <v>1</v>
      </c>
      <c r="G8">
        <v>1</v>
      </c>
      <c r="H8">
        <v>1</v>
      </c>
      <c r="I8" t="s">
        <v>153</v>
      </c>
      <c r="J8" t="s">
        <v>3</v>
      </c>
      <c r="K8" t="s">
        <v>154</v>
      </c>
      <c r="L8">
        <v>1191</v>
      </c>
      <c r="N8">
        <v>1013</v>
      </c>
      <c r="O8" t="s">
        <v>150</v>
      </c>
      <c r="P8" t="s">
        <v>150</v>
      </c>
      <c r="Q8">
        <v>1</v>
      </c>
      <c r="X8">
        <v>1.1759999999999999</v>
      </c>
      <c r="Y8">
        <v>0</v>
      </c>
      <c r="Z8">
        <v>0</v>
      </c>
      <c r="AA8">
        <v>0</v>
      </c>
      <c r="AB8">
        <v>15.49</v>
      </c>
      <c r="AC8">
        <v>0</v>
      </c>
      <c r="AD8">
        <v>1</v>
      </c>
      <c r="AE8">
        <v>1</v>
      </c>
      <c r="AF8" t="s">
        <v>3</v>
      </c>
      <c r="AG8">
        <v>1.1759999999999999</v>
      </c>
      <c r="AH8">
        <v>2</v>
      </c>
      <c r="AI8">
        <v>39625338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ROW(Source!A25)</f>
        <v>25</v>
      </c>
      <c r="B9">
        <v>39625339</v>
      </c>
      <c r="C9">
        <v>39625335</v>
      </c>
      <c r="D9">
        <v>37358467</v>
      </c>
      <c r="E9">
        <v>1</v>
      </c>
      <c r="F9">
        <v>1</v>
      </c>
      <c r="G9">
        <v>1</v>
      </c>
      <c r="H9">
        <v>1</v>
      </c>
      <c r="I9" t="s">
        <v>155</v>
      </c>
      <c r="J9" t="s">
        <v>3</v>
      </c>
      <c r="K9" t="s">
        <v>156</v>
      </c>
      <c r="L9">
        <v>1191</v>
      </c>
      <c r="N9">
        <v>1013</v>
      </c>
      <c r="O9" t="s">
        <v>150</v>
      </c>
      <c r="P9" t="s">
        <v>150</v>
      </c>
      <c r="Q9">
        <v>1</v>
      </c>
      <c r="X9">
        <v>2.6459999999999999</v>
      </c>
      <c r="Y9">
        <v>0</v>
      </c>
      <c r="Z9">
        <v>0</v>
      </c>
      <c r="AA9">
        <v>0</v>
      </c>
      <c r="AB9">
        <v>14.09</v>
      </c>
      <c r="AC9">
        <v>0</v>
      </c>
      <c r="AD9">
        <v>1</v>
      </c>
      <c r="AE9">
        <v>1</v>
      </c>
      <c r="AF9" t="s">
        <v>3</v>
      </c>
      <c r="AG9">
        <v>2.6459999999999999</v>
      </c>
      <c r="AH9">
        <v>2</v>
      </c>
      <c r="AI9">
        <v>39625339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ROW(Source!A25)</f>
        <v>25</v>
      </c>
      <c r="B10">
        <v>39625340</v>
      </c>
      <c r="C10">
        <v>39625335</v>
      </c>
      <c r="D10">
        <v>37515375</v>
      </c>
      <c r="E10">
        <v>1</v>
      </c>
      <c r="F10">
        <v>1</v>
      </c>
      <c r="G10">
        <v>1</v>
      </c>
      <c r="H10">
        <v>1</v>
      </c>
      <c r="I10" t="s">
        <v>157</v>
      </c>
      <c r="J10" t="s">
        <v>3</v>
      </c>
      <c r="K10" t="s">
        <v>158</v>
      </c>
      <c r="L10">
        <v>1191</v>
      </c>
      <c r="N10">
        <v>1013</v>
      </c>
      <c r="O10" t="s">
        <v>150</v>
      </c>
      <c r="P10" t="s">
        <v>150</v>
      </c>
      <c r="Q10">
        <v>1</v>
      </c>
      <c r="X10">
        <v>1.1759999999999999</v>
      </c>
      <c r="Y10">
        <v>0</v>
      </c>
      <c r="Z10">
        <v>0</v>
      </c>
      <c r="AA10">
        <v>0</v>
      </c>
      <c r="AB10">
        <v>12.69</v>
      </c>
      <c r="AC10">
        <v>0</v>
      </c>
      <c r="AD10">
        <v>1</v>
      </c>
      <c r="AE10">
        <v>1</v>
      </c>
      <c r="AF10" t="s">
        <v>3</v>
      </c>
      <c r="AG10">
        <v>1.1759999999999999</v>
      </c>
      <c r="AH10">
        <v>2</v>
      </c>
      <c r="AI10">
        <v>39625340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2018-11-08T13:15:09Z</dcterms:created>
  <dcterms:modified xsi:type="dcterms:W3CDTF">2018-11-14T09:45:44Z</dcterms:modified>
</cp:coreProperties>
</file>