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ФЕР'!$A$1:$L$368</definedName>
  </definedNames>
  <calcPr calcId="145621"/>
</workbook>
</file>

<file path=xl/calcChain.xml><?xml version="1.0" encoding="utf-8"?>
<calcChain xmlns="http://schemas.openxmlformats.org/spreadsheetml/2006/main">
  <c r="C360" i="5" l="1"/>
  <c r="C359" i="5"/>
  <c r="C358" i="5"/>
  <c r="Z355" i="5"/>
  <c r="Y355" i="5"/>
  <c r="X355" i="5"/>
  <c r="J354" i="5"/>
  <c r="G354" i="5"/>
  <c r="F354" i="5"/>
  <c r="U354" i="5"/>
  <c r="S354" i="5"/>
  <c r="E354" i="5"/>
  <c r="D354" i="5"/>
  <c r="I354" i="5"/>
  <c r="C354" i="5"/>
  <c r="B354" i="5"/>
  <c r="A354" i="5"/>
  <c r="Z353" i="5"/>
  <c r="Y353" i="5"/>
  <c r="X353" i="5"/>
  <c r="J352" i="5"/>
  <c r="G352" i="5"/>
  <c r="F352" i="5"/>
  <c r="U352" i="5"/>
  <c r="S352" i="5"/>
  <c r="E352" i="5"/>
  <c r="D352" i="5"/>
  <c r="I352" i="5"/>
  <c r="C352" i="5"/>
  <c r="B352" i="5"/>
  <c r="A352" i="5"/>
  <c r="Z351" i="5"/>
  <c r="Y351" i="5"/>
  <c r="X351" i="5"/>
  <c r="G350" i="5"/>
  <c r="E350" i="5"/>
  <c r="J349" i="5"/>
  <c r="E349" i="5"/>
  <c r="J348" i="5"/>
  <c r="E348" i="5"/>
  <c r="J347" i="5"/>
  <c r="G347" i="5"/>
  <c r="F347" i="5"/>
  <c r="J346" i="5"/>
  <c r="G346" i="5"/>
  <c r="F346" i="5"/>
  <c r="F345" i="5"/>
  <c r="E345" i="5"/>
  <c r="D345" i="5"/>
  <c r="I345" i="5"/>
  <c r="C345" i="5"/>
  <c r="B345" i="5"/>
  <c r="A345" i="5"/>
  <c r="A344" i="5"/>
  <c r="Z342" i="5"/>
  <c r="Y342" i="5"/>
  <c r="W342" i="5"/>
  <c r="J341" i="5"/>
  <c r="Z341" i="5"/>
  <c r="Y341" i="5"/>
  <c r="W341" i="5"/>
  <c r="F341" i="5"/>
  <c r="D341" i="5"/>
  <c r="C341" i="5"/>
  <c r="B341" i="5"/>
  <c r="A341" i="5"/>
  <c r="G340" i="5"/>
  <c r="E340" i="5"/>
  <c r="J339" i="5"/>
  <c r="E339" i="5"/>
  <c r="J338" i="5"/>
  <c r="E338" i="5"/>
  <c r="J337" i="5"/>
  <c r="G337" i="5"/>
  <c r="F337" i="5"/>
  <c r="J336" i="5"/>
  <c r="G336" i="5"/>
  <c r="F336" i="5"/>
  <c r="J335" i="5"/>
  <c r="G335" i="5"/>
  <c r="F335" i="5"/>
  <c r="J334" i="5"/>
  <c r="G334" i="5"/>
  <c r="F334" i="5"/>
  <c r="F333" i="5"/>
  <c r="E333" i="5"/>
  <c r="D333" i="5"/>
  <c r="I333" i="5"/>
  <c r="C333" i="5"/>
  <c r="B333" i="5"/>
  <c r="A333" i="5"/>
  <c r="Z332" i="5"/>
  <c r="Y332" i="5"/>
  <c r="W332" i="5"/>
  <c r="J331" i="5"/>
  <c r="Z331" i="5"/>
  <c r="Y331" i="5"/>
  <c r="W331" i="5"/>
  <c r="F331" i="5"/>
  <c r="D331" i="5"/>
  <c r="C331" i="5"/>
  <c r="B331" i="5"/>
  <c r="A331" i="5"/>
  <c r="G330" i="5"/>
  <c r="E330" i="5"/>
  <c r="J329" i="5"/>
  <c r="E329" i="5"/>
  <c r="J328" i="5"/>
  <c r="E328" i="5"/>
  <c r="J327" i="5"/>
  <c r="G327" i="5"/>
  <c r="F327" i="5"/>
  <c r="J326" i="5"/>
  <c r="G326" i="5"/>
  <c r="F326" i="5"/>
  <c r="F325" i="5"/>
  <c r="E325" i="5"/>
  <c r="D325" i="5"/>
  <c r="I325" i="5"/>
  <c r="C325" i="5"/>
  <c r="B325" i="5"/>
  <c r="A325" i="5"/>
  <c r="Z324" i="5"/>
  <c r="Y324" i="5"/>
  <c r="W324" i="5"/>
  <c r="J323" i="5"/>
  <c r="Z323" i="5"/>
  <c r="Y323" i="5"/>
  <c r="W323" i="5"/>
  <c r="F323" i="5"/>
  <c r="D323" i="5"/>
  <c r="C323" i="5"/>
  <c r="B323" i="5"/>
  <c r="A323" i="5"/>
  <c r="G322" i="5"/>
  <c r="E322" i="5"/>
  <c r="J321" i="5"/>
  <c r="E321" i="5"/>
  <c r="J320" i="5"/>
  <c r="E320" i="5"/>
  <c r="J319" i="5"/>
  <c r="G319" i="5"/>
  <c r="F319" i="5"/>
  <c r="J318" i="5"/>
  <c r="G318" i="5"/>
  <c r="F318" i="5"/>
  <c r="J317" i="5"/>
  <c r="G317" i="5"/>
  <c r="F317" i="5"/>
  <c r="F316" i="5"/>
  <c r="E316" i="5"/>
  <c r="D316" i="5"/>
  <c r="I316" i="5"/>
  <c r="C316" i="5"/>
  <c r="B316" i="5"/>
  <c r="A316" i="5"/>
  <c r="Z315" i="5"/>
  <c r="Y315" i="5"/>
  <c r="W315" i="5"/>
  <c r="J314" i="5"/>
  <c r="Z314" i="5"/>
  <c r="Y314" i="5"/>
  <c r="W314" i="5"/>
  <c r="F314" i="5"/>
  <c r="D314" i="5"/>
  <c r="C314" i="5"/>
  <c r="B314" i="5"/>
  <c r="A314" i="5"/>
  <c r="G313" i="5"/>
  <c r="E313" i="5"/>
  <c r="J312" i="5"/>
  <c r="E312" i="5"/>
  <c r="J311" i="5"/>
  <c r="E311" i="5"/>
  <c r="J310" i="5"/>
  <c r="G310" i="5"/>
  <c r="F310" i="5"/>
  <c r="J309" i="5"/>
  <c r="G309" i="5"/>
  <c r="F309" i="5"/>
  <c r="J308" i="5"/>
  <c r="G308" i="5"/>
  <c r="F308" i="5"/>
  <c r="J307" i="5"/>
  <c r="G307" i="5"/>
  <c r="F307" i="5"/>
  <c r="F306" i="5"/>
  <c r="E306" i="5"/>
  <c r="D306" i="5"/>
  <c r="I306" i="5"/>
  <c r="C306" i="5"/>
  <c r="B306" i="5"/>
  <c r="A306" i="5"/>
  <c r="Z305" i="5"/>
  <c r="Y305" i="5"/>
  <c r="W305" i="5"/>
  <c r="J304" i="5"/>
  <c r="Z304" i="5"/>
  <c r="Y304" i="5"/>
  <c r="W304" i="5"/>
  <c r="F304" i="5"/>
  <c r="D304" i="5"/>
  <c r="C304" i="5"/>
  <c r="B304" i="5"/>
  <c r="A304" i="5"/>
  <c r="G303" i="5"/>
  <c r="E303" i="5"/>
  <c r="J302" i="5"/>
  <c r="E302" i="5"/>
  <c r="J301" i="5"/>
  <c r="E301" i="5"/>
  <c r="J300" i="5"/>
  <c r="G300" i="5"/>
  <c r="F300" i="5"/>
  <c r="J299" i="5"/>
  <c r="G299" i="5"/>
  <c r="F299" i="5"/>
  <c r="J298" i="5"/>
  <c r="G298" i="5"/>
  <c r="F298" i="5"/>
  <c r="J297" i="5"/>
  <c r="G297" i="5"/>
  <c r="F297" i="5"/>
  <c r="F295" i="5"/>
  <c r="D295" i="5"/>
  <c r="I295" i="5"/>
  <c r="C295" i="5"/>
  <c r="B295" i="5"/>
  <c r="A295" i="5"/>
  <c r="Z294" i="5"/>
  <c r="Y294" i="5"/>
  <c r="W294" i="5"/>
  <c r="J293" i="5"/>
  <c r="Z293" i="5"/>
  <c r="Y293" i="5"/>
  <c r="W293" i="5"/>
  <c r="F293" i="5"/>
  <c r="D293" i="5"/>
  <c r="C293" i="5"/>
  <c r="B293" i="5"/>
  <c r="A293" i="5"/>
  <c r="G292" i="5"/>
  <c r="E292" i="5"/>
  <c r="J291" i="5"/>
  <c r="E291" i="5"/>
  <c r="J290" i="5"/>
  <c r="E290" i="5"/>
  <c r="J289" i="5"/>
  <c r="G289" i="5"/>
  <c r="F289" i="5"/>
  <c r="J288" i="5"/>
  <c r="G288" i="5"/>
  <c r="F288" i="5"/>
  <c r="J287" i="5"/>
  <c r="G287" i="5"/>
  <c r="F287" i="5"/>
  <c r="J286" i="5"/>
  <c r="G286" i="5"/>
  <c r="F286" i="5"/>
  <c r="F284" i="5"/>
  <c r="D284" i="5"/>
  <c r="I284" i="5"/>
  <c r="C284" i="5"/>
  <c r="B284" i="5"/>
  <c r="A284" i="5"/>
  <c r="Z283" i="5"/>
  <c r="Y283" i="5"/>
  <c r="W283" i="5"/>
  <c r="J282" i="5"/>
  <c r="Z282" i="5"/>
  <c r="Y282" i="5"/>
  <c r="W282" i="5"/>
  <c r="F282" i="5"/>
  <c r="D282" i="5"/>
  <c r="C282" i="5"/>
  <c r="B282" i="5"/>
  <c r="A282" i="5"/>
  <c r="G281" i="5"/>
  <c r="E281" i="5"/>
  <c r="J280" i="5"/>
  <c r="E280" i="5"/>
  <c r="J279" i="5"/>
  <c r="E279" i="5"/>
  <c r="J278" i="5"/>
  <c r="G278" i="5"/>
  <c r="F278" i="5"/>
  <c r="J277" i="5"/>
  <c r="G277" i="5"/>
  <c r="F277" i="5"/>
  <c r="J276" i="5"/>
  <c r="G276" i="5"/>
  <c r="F276" i="5"/>
  <c r="J275" i="5"/>
  <c r="G275" i="5"/>
  <c r="F275" i="5"/>
  <c r="F273" i="5"/>
  <c r="D273" i="5"/>
  <c r="I273" i="5"/>
  <c r="C273" i="5"/>
  <c r="B273" i="5"/>
  <c r="A273" i="5"/>
  <c r="Z272" i="5"/>
  <c r="Y272" i="5"/>
  <c r="W272" i="5"/>
  <c r="J271" i="5"/>
  <c r="Z271" i="5"/>
  <c r="Y271" i="5"/>
  <c r="W271" i="5"/>
  <c r="F271" i="5"/>
  <c r="D271" i="5"/>
  <c r="C271" i="5"/>
  <c r="B271" i="5"/>
  <c r="A271" i="5"/>
  <c r="G270" i="5"/>
  <c r="E270" i="5"/>
  <c r="J269" i="5"/>
  <c r="E269" i="5"/>
  <c r="J268" i="5"/>
  <c r="E268" i="5"/>
  <c r="J267" i="5"/>
  <c r="G267" i="5"/>
  <c r="F267" i="5"/>
  <c r="J266" i="5"/>
  <c r="G266" i="5"/>
  <c r="F266" i="5"/>
  <c r="J265" i="5"/>
  <c r="G265" i="5"/>
  <c r="F265" i="5"/>
  <c r="J264" i="5"/>
  <c r="G264" i="5"/>
  <c r="F264" i="5"/>
  <c r="F262" i="5"/>
  <c r="D262" i="5"/>
  <c r="I262" i="5"/>
  <c r="C262" i="5"/>
  <c r="B262" i="5"/>
  <c r="A262" i="5"/>
  <c r="Z261" i="5"/>
  <c r="Y261" i="5"/>
  <c r="W261" i="5"/>
  <c r="J260" i="5"/>
  <c r="Z260" i="5"/>
  <c r="Y260" i="5"/>
  <c r="W260" i="5"/>
  <c r="F260" i="5"/>
  <c r="D260" i="5"/>
  <c r="C260" i="5"/>
  <c r="B260" i="5"/>
  <c r="A260" i="5"/>
  <c r="G259" i="5"/>
  <c r="E259" i="5"/>
  <c r="J258" i="5"/>
  <c r="E258" i="5"/>
  <c r="J257" i="5"/>
  <c r="E257" i="5"/>
  <c r="J256" i="5"/>
  <c r="G256" i="5"/>
  <c r="F256" i="5"/>
  <c r="J255" i="5"/>
  <c r="G255" i="5"/>
  <c r="F255" i="5"/>
  <c r="J254" i="5"/>
  <c r="G254" i="5"/>
  <c r="F254" i="5"/>
  <c r="J253" i="5"/>
  <c r="G253" i="5"/>
  <c r="F253" i="5"/>
  <c r="F251" i="5"/>
  <c r="D251" i="5"/>
  <c r="I251" i="5"/>
  <c r="C251" i="5"/>
  <c r="B251" i="5"/>
  <c r="A251" i="5"/>
  <c r="Z250" i="5"/>
  <c r="Y250" i="5"/>
  <c r="W250" i="5"/>
  <c r="J249" i="5"/>
  <c r="Z249" i="5"/>
  <c r="Y249" i="5"/>
  <c r="W249" i="5"/>
  <c r="F249" i="5"/>
  <c r="D249" i="5"/>
  <c r="C249" i="5"/>
  <c r="B249" i="5"/>
  <c r="A249" i="5"/>
  <c r="G248" i="5"/>
  <c r="E248" i="5"/>
  <c r="J247" i="5"/>
  <c r="E247" i="5"/>
  <c r="J246" i="5"/>
  <c r="E246" i="5"/>
  <c r="J245" i="5"/>
  <c r="G245" i="5"/>
  <c r="F245" i="5"/>
  <c r="J244" i="5"/>
  <c r="G244" i="5"/>
  <c r="F244" i="5"/>
  <c r="F242" i="5"/>
  <c r="D242" i="5"/>
  <c r="I242" i="5"/>
  <c r="C242" i="5"/>
  <c r="B242" i="5"/>
  <c r="A242" i="5"/>
  <c r="Z241" i="5"/>
  <c r="Y241" i="5"/>
  <c r="W241" i="5"/>
  <c r="J240" i="5"/>
  <c r="Z240" i="5"/>
  <c r="Y240" i="5"/>
  <c r="W240" i="5"/>
  <c r="F240" i="5"/>
  <c r="D240" i="5"/>
  <c r="C240" i="5"/>
  <c r="B240" i="5"/>
  <c r="A240" i="5"/>
  <c r="G239" i="5"/>
  <c r="E239" i="5"/>
  <c r="J238" i="5"/>
  <c r="E238" i="5"/>
  <c r="J237" i="5"/>
  <c r="E237" i="5"/>
  <c r="J236" i="5"/>
  <c r="G236" i="5"/>
  <c r="F236" i="5"/>
  <c r="J235" i="5"/>
  <c r="G235" i="5"/>
  <c r="F235" i="5"/>
  <c r="J234" i="5"/>
  <c r="G234" i="5"/>
  <c r="F234" i="5"/>
  <c r="J233" i="5"/>
  <c r="G233" i="5"/>
  <c r="F233" i="5"/>
  <c r="F231" i="5"/>
  <c r="D231" i="5"/>
  <c r="I231" i="5"/>
  <c r="C231" i="5"/>
  <c r="B231" i="5"/>
  <c r="A231" i="5"/>
  <c r="Z230" i="5"/>
  <c r="Y230" i="5"/>
  <c r="X230" i="5"/>
  <c r="G229" i="5"/>
  <c r="E229" i="5"/>
  <c r="J228" i="5"/>
  <c r="E228" i="5"/>
  <c r="J227" i="5"/>
  <c r="E227" i="5"/>
  <c r="J226" i="5"/>
  <c r="G226" i="5"/>
  <c r="F226" i="5"/>
  <c r="F224" i="5"/>
  <c r="D224" i="5"/>
  <c r="I224" i="5"/>
  <c r="C224" i="5"/>
  <c r="B224" i="5"/>
  <c r="A224" i="5"/>
  <c r="Z223" i="5"/>
  <c r="Y223" i="5"/>
  <c r="W223" i="5"/>
  <c r="G222" i="5"/>
  <c r="E222" i="5"/>
  <c r="J221" i="5"/>
  <c r="E221" i="5"/>
  <c r="J220" i="5"/>
  <c r="E220" i="5"/>
  <c r="J219" i="5"/>
  <c r="G219" i="5"/>
  <c r="F219" i="5"/>
  <c r="J218" i="5"/>
  <c r="G218" i="5"/>
  <c r="F218" i="5"/>
  <c r="J217" i="5"/>
  <c r="G217" i="5"/>
  <c r="F217" i="5"/>
  <c r="F216" i="5"/>
  <c r="E216" i="5"/>
  <c r="D216" i="5"/>
  <c r="I216" i="5"/>
  <c r="C216" i="5"/>
  <c r="B216" i="5"/>
  <c r="A216" i="5"/>
  <c r="Z215" i="5"/>
  <c r="Y215" i="5"/>
  <c r="X215" i="5"/>
  <c r="G214" i="5"/>
  <c r="E214" i="5"/>
  <c r="J213" i="5"/>
  <c r="E213" i="5"/>
  <c r="J212" i="5"/>
  <c r="E212" i="5"/>
  <c r="J211" i="5"/>
  <c r="G211" i="5"/>
  <c r="F211" i="5"/>
  <c r="J210" i="5"/>
  <c r="G210" i="5"/>
  <c r="F210" i="5"/>
  <c r="J209" i="5"/>
  <c r="G209" i="5"/>
  <c r="F209" i="5"/>
  <c r="F207" i="5"/>
  <c r="D207" i="5"/>
  <c r="I207" i="5"/>
  <c r="C207" i="5"/>
  <c r="B207" i="5"/>
  <c r="A207" i="5"/>
  <c r="A206" i="5"/>
  <c r="Z204" i="5"/>
  <c r="Y204" i="5"/>
  <c r="X204" i="5"/>
  <c r="J203" i="5"/>
  <c r="Z203" i="5"/>
  <c r="Y203" i="5"/>
  <c r="X203" i="5"/>
  <c r="F203" i="5"/>
  <c r="D203" i="5"/>
  <c r="C203" i="5"/>
  <c r="B203" i="5"/>
  <c r="A203" i="5"/>
  <c r="G202" i="5"/>
  <c r="E202" i="5"/>
  <c r="J201" i="5"/>
  <c r="E201" i="5"/>
  <c r="J200" i="5"/>
  <c r="E200" i="5"/>
  <c r="J199" i="5"/>
  <c r="G199" i="5"/>
  <c r="F199" i="5"/>
  <c r="J198" i="5"/>
  <c r="G198" i="5"/>
  <c r="F198" i="5"/>
  <c r="J197" i="5"/>
  <c r="G197" i="5"/>
  <c r="F197" i="5"/>
  <c r="J196" i="5"/>
  <c r="G196" i="5"/>
  <c r="F196" i="5"/>
  <c r="F194" i="5"/>
  <c r="D194" i="5"/>
  <c r="I194" i="5"/>
  <c r="C194" i="5"/>
  <c r="B194" i="5"/>
  <c r="A194" i="5"/>
  <c r="Z193" i="5"/>
  <c r="Y193" i="5"/>
  <c r="X193" i="5"/>
  <c r="J192" i="5"/>
  <c r="Z192" i="5"/>
  <c r="Y192" i="5"/>
  <c r="X192" i="5"/>
  <c r="F192" i="5"/>
  <c r="D192" i="5"/>
  <c r="C192" i="5"/>
  <c r="B192" i="5"/>
  <c r="A192" i="5"/>
  <c r="J191" i="5"/>
  <c r="Z191" i="5"/>
  <c r="Y191" i="5"/>
  <c r="X191" i="5"/>
  <c r="F191" i="5"/>
  <c r="D191" i="5"/>
  <c r="B191" i="5"/>
  <c r="A191" i="5"/>
  <c r="G190" i="5"/>
  <c r="E190" i="5"/>
  <c r="J189" i="5"/>
  <c r="F189" i="5"/>
  <c r="E189" i="5"/>
  <c r="J188" i="5"/>
  <c r="F188" i="5"/>
  <c r="E188" i="5"/>
  <c r="J187" i="5"/>
  <c r="G187" i="5"/>
  <c r="F187" i="5"/>
  <c r="F185" i="5"/>
  <c r="D185" i="5"/>
  <c r="I185" i="5"/>
  <c r="C185" i="5"/>
  <c r="B185" i="5"/>
  <c r="A185" i="5"/>
  <c r="Z184" i="5"/>
  <c r="Y184" i="5"/>
  <c r="X184" i="5"/>
  <c r="J183" i="5"/>
  <c r="Z183" i="5"/>
  <c r="Y183" i="5"/>
  <c r="X183" i="5"/>
  <c r="F183" i="5"/>
  <c r="D183" i="5"/>
  <c r="C183" i="5"/>
  <c r="B183" i="5"/>
  <c r="A183" i="5"/>
  <c r="J182" i="5"/>
  <c r="Z182" i="5"/>
  <c r="Y182" i="5"/>
  <c r="X182" i="5"/>
  <c r="F182" i="5"/>
  <c r="D182" i="5"/>
  <c r="B182" i="5"/>
  <c r="A182" i="5"/>
  <c r="G181" i="5"/>
  <c r="E181" i="5"/>
  <c r="J180" i="5"/>
  <c r="F180" i="5"/>
  <c r="E180" i="5"/>
  <c r="J179" i="5"/>
  <c r="F179" i="5"/>
  <c r="E179" i="5"/>
  <c r="J178" i="5"/>
  <c r="G178" i="5"/>
  <c r="F178" i="5"/>
  <c r="J177" i="5"/>
  <c r="G177" i="5"/>
  <c r="F177" i="5"/>
  <c r="J176" i="5"/>
  <c r="G176" i="5"/>
  <c r="F176" i="5"/>
  <c r="J175" i="5"/>
  <c r="G175" i="5"/>
  <c r="F175" i="5"/>
  <c r="F173" i="5"/>
  <c r="D173" i="5"/>
  <c r="I173" i="5"/>
  <c r="C173" i="5"/>
  <c r="B173" i="5"/>
  <c r="A173" i="5"/>
  <c r="Z172" i="5"/>
  <c r="Y172" i="5"/>
  <c r="X172" i="5"/>
  <c r="J171" i="5"/>
  <c r="Z171" i="5"/>
  <c r="Y171" i="5"/>
  <c r="X171" i="5"/>
  <c r="F171" i="5"/>
  <c r="D171" i="5"/>
  <c r="C171" i="5"/>
  <c r="B171" i="5"/>
  <c r="A171" i="5"/>
  <c r="J170" i="5"/>
  <c r="Z170" i="5"/>
  <c r="Y170" i="5"/>
  <c r="X170" i="5"/>
  <c r="F170" i="5"/>
  <c r="D170" i="5"/>
  <c r="C170" i="5"/>
  <c r="B170" i="5"/>
  <c r="A170" i="5"/>
  <c r="G169" i="5"/>
  <c r="E169" i="5"/>
  <c r="J168" i="5"/>
  <c r="F168" i="5"/>
  <c r="E168" i="5"/>
  <c r="J167" i="5"/>
  <c r="F167" i="5"/>
  <c r="E167" i="5"/>
  <c r="J166" i="5"/>
  <c r="G166" i="5"/>
  <c r="F166" i="5"/>
  <c r="J165" i="5"/>
  <c r="G165" i="5"/>
  <c r="F165" i="5"/>
  <c r="J164" i="5"/>
  <c r="G164" i="5"/>
  <c r="F164" i="5"/>
  <c r="J163" i="5"/>
  <c r="G163" i="5"/>
  <c r="F163" i="5"/>
  <c r="F161" i="5"/>
  <c r="D161" i="5"/>
  <c r="I161" i="5"/>
  <c r="C161" i="5"/>
  <c r="B161" i="5"/>
  <c r="A161" i="5"/>
  <c r="Z160" i="5"/>
  <c r="Y160" i="5"/>
  <c r="X160" i="5"/>
  <c r="J159" i="5"/>
  <c r="Z159" i="5"/>
  <c r="Y159" i="5"/>
  <c r="X159" i="5"/>
  <c r="F159" i="5"/>
  <c r="D159" i="5"/>
  <c r="C159" i="5"/>
  <c r="B159" i="5"/>
  <c r="A159" i="5"/>
  <c r="J158" i="5"/>
  <c r="Z158" i="5"/>
  <c r="Y158" i="5"/>
  <c r="X158" i="5"/>
  <c r="F158" i="5"/>
  <c r="D158" i="5"/>
  <c r="C158" i="5"/>
  <c r="B158" i="5"/>
  <c r="A158" i="5"/>
  <c r="G157" i="5"/>
  <c r="E157" i="5"/>
  <c r="J156" i="5"/>
  <c r="F156" i="5"/>
  <c r="E156" i="5"/>
  <c r="J155" i="5"/>
  <c r="F155" i="5"/>
  <c r="E155" i="5"/>
  <c r="J154" i="5"/>
  <c r="G154" i="5"/>
  <c r="F154" i="5"/>
  <c r="J153" i="5"/>
  <c r="G153" i="5"/>
  <c r="F153" i="5"/>
  <c r="J152" i="5"/>
  <c r="G152" i="5"/>
  <c r="F152" i="5"/>
  <c r="J151" i="5"/>
  <c r="G151" i="5"/>
  <c r="F151" i="5"/>
  <c r="F149" i="5"/>
  <c r="D149" i="5"/>
  <c r="I149" i="5"/>
  <c r="C149" i="5"/>
  <c r="B149" i="5"/>
  <c r="A149" i="5"/>
  <c r="Z148" i="5"/>
  <c r="Y148" i="5"/>
  <c r="X148" i="5"/>
  <c r="J147" i="5"/>
  <c r="Z147" i="5"/>
  <c r="Y147" i="5"/>
  <c r="X147" i="5"/>
  <c r="F147" i="5"/>
  <c r="D147" i="5"/>
  <c r="C147" i="5"/>
  <c r="B147" i="5"/>
  <c r="A147" i="5"/>
  <c r="J146" i="5"/>
  <c r="Z146" i="5"/>
  <c r="Y146" i="5"/>
  <c r="X146" i="5"/>
  <c r="F146" i="5"/>
  <c r="D146" i="5"/>
  <c r="C146" i="5"/>
  <c r="B146" i="5"/>
  <c r="A146" i="5"/>
  <c r="J145" i="5"/>
  <c r="Z145" i="5"/>
  <c r="Y145" i="5"/>
  <c r="X145" i="5"/>
  <c r="F145" i="5"/>
  <c r="D145" i="5"/>
  <c r="C145" i="5"/>
  <c r="B145" i="5"/>
  <c r="A145" i="5"/>
  <c r="G144" i="5"/>
  <c r="E144" i="5"/>
  <c r="J143" i="5"/>
  <c r="F143" i="5"/>
  <c r="E143" i="5"/>
  <c r="J142" i="5"/>
  <c r="F142" i="5"/>
  <c r="E142" i="5"/>
  <c r="J141" i="5"/>
  <c r="G141" i="5"/>
  <c r="F141" i="5"/>
  <c r="J140" i="5"/>
  <c r="G140" i="5"/>
  <c r="F140" i="5"/>
  <c r="J139" i="5"/>
  <c r="G139" i="5"/>
  <c r="F139" i="5"/>
  <c r="J138" i="5"/>
  <c r="G138" i="5"/>
  <c r="F138" i="5"/>
  <c r="F136" i="5"/>
  <c r="D136" i="5"/>
  <c r="I136" i="5"/>
  <c r="C136" i="5"/>
  <c r="B136" i="5"/>
  <c r="A136" i="5"/>
  <c r="Z135" i="5"/>
  <c r="Y135" i="5"/>
  <c r="X135" i="5"/>
  <c r="J134" i="5"/>
  <c r="Z134" i="5"/>
  <c r="Y134" i="5"/>
  <c r="X134" i="5"/>
  <c r="F134" i="5"/>
  <c r="D134" i="5"/>
  <c r="C134" i="5"/>
  <c r="B134" i="5"/>
  <c r="A134" i="5"/>
  <c r="J133" i="5"/>
  <c r="Z133" i="5"/>
  <c r="Y133" i="5"/>
  <c r="X133" i="5"/>
  <c r="F133" i="5"/>
  <c r="D133" i="5"/>
  <c r="C133" i="5"/>
  <c r="B133" i="5"/>
  <c r="A133" i="5"/>
  <c r="G132" i="5"/>
  <c r="E132" i="5"/>
  <c r="J131" i="5"/>
  <c r="F131" i="5"/>
  <c r="E131" i="5"/>
  <c r="J130" i="5"/>
  <c r="F130" i="5"/>
  <c r="E130" i="5"/>
  <c r="J129" i="5"/>
  <c r="G129" i="5"/>
  <c r="F129" i="5"/>
  <c r="J128" i="5"/>
  <c r="G128" i="5"/>
  <c r="F128" i="5"/>
  <c r="J127" i="5"/>
  <c r="G127" i="5"/>
  <c r="F127" i="5"/>
  <c r="J126" i="5"/>
  <c r="G126" i="5"/>
  <c r="F126" i="5"/>
  <c r="F125" i="5"/>
  <c r="E125" i="5"/>
  <c r="D125" i="5"/>
  <c r="I125" i="5"/>
  <c r="C125" i="5"/>
  <c r="B125" i="5"/>
  <c r="A125" i="5"/>
  <c r="Z124" i="5"/>
  <c r="Y124" i="5"/>
  <c r="X124" i="5"/>
  <c r="J123" i="5"/>
  <c r="Z123" i="5"/>
  <c r="Y123" i="5"/>
  <c r="X123" i="5"/>
  <c r="F123" i="5"/>
  <c r="D123" i="5"/>
  <c r="C123" i="5"/>
  <c r="B123" i="5"/>
  <c r="A123" i="5"/>
  <c r="G122" i="5"/>
  <c r="E122" i="5"/>
  <c r="J121" i="5"/>
  <c r="F121" i="5"/>
  <c r="E121" i="5"/>
  <c r="J120" i="5"/>
  <c r="F120" i="5"/>
  <c r="E120" i="5"/>
  <c r="J119" i="5"/>
  <c r="G119" i="5"/>
  <c r="F119" i="5"/>
  <c r="J118" i="5"/>
  <c r="G118" i="5"/>
  <c r="F118" i="5"/>
  <c r="J117" i="5"/>
  <c r="G117" i="5"/>
  <c r="F117" i="5"/>
  <c r="F116" i="5"/>
  <c r="E116" i="5"/>
  <c r="D116" i="5"/>
  <c r="I116" i="5"/>
  <c r="C116" i="5"/>
  <c r="B116" i="5"/>
  <c r="A116" i="5"/>
  <c r="Z115" i="5"/>
  <c r="Y115" i="5"/>
  <c r="X115" i="5"/>
  <c r="J114" i="5"/>
  <c r="Z114" i="5"/>
  <c r="Y114" i="5"/>
  <c r="X114" i="5"/>
  <c r="F114" i="5"/>
  <c r="D114" i="5"/>
  <c r="C114" i="5"/>
  <c r="B114" i="5"/>
  <c r="A114" i="5"/>
  <c r="G113" i="5"/>
  <c r="E113" i="5"/>
  <c r="J112" i="5"/>
  <c r="F112" i="5"/>
  <c r="E112" i="5"/>
  <c r="J111" i="5"/>
  <c r="F111" i="5"/>
  <c r="E111" i="5"/>
  <c r="J110" i="5"/>
  <c r="G110" i="5"/>
  <c r="F110" i="5"/>
  <c r="J109" i="5"/>
  <c r="G109" i="5"/>
  <c r="F109" i="5"/>
  <c r="F107" i="5"/>
  <c r="D107" i="5"/>
  <c r="I107" i="5"/>
  <c r="C107" i="5"/>
  <c r="B107" i="5"/>
  <c r="A107" i="5"/>
  <c r="Z106" i="5"/>
  <c r="Y106" i="5"/>
  <c r="X106" i="5"/>
  <c r="J105" i="5"/>
  <c r="Z105" i="5"/>
  <c r="Y105" i="5"/>
  <c r="X105" i="5"/>
  <c r="F105" i="5"/>
  <c r="D105" i="5"/>
  <c r="C105" i="5"/>
  <c r="B105" i="5"/>
  <c r="A105" i="5"/>
  <c r="J104" i="5"/>
  <c r="Z104" i="5"/>
  <c r="Y104" i="5"/>
  <c r="X104" i="5"/>
  <c r="F104" i="5"/>
  <c r="D104" i="5"/>
  <c r="C104" i="5"/>
  <c r="B104" i="5"/>
  <c r="A104" i="5"/>
  <c r="J103" i="5"/>
  <c r="Z103" i="5"/>
  <c r="Y103" i="5"/>
  <c r="X103" i="5"/>
  <c r="F103" i="5"/>
  <c r="D103" i="5"/>
  <c r="C103" i="5"/>
  <c r="B103" i="5"/>
  <c r="A103" i="5"/>
  <c r="J102" i="5"/>
  <c r="Z102" i="5"/>
  <c r="Y102" i="5"/>
  <c r="X102" i="5"/>
  <c r="F102" i="5"/>
  <c r="D102" i="5"/>
  <c r="C102" i="5"/>
  <c r="B102" i="5"/>
  <c r="A102" i="5"/>
  <c r="J101" i="5"/>
  <c r="Z101" i="5"/>
  <c r="Y101" i="5"/>
  <c r="X101" i="5"/>
  <c r="F101" i="5"/>
  <c r="D101" i="5"/>
  <c r="C101" i="5"/>
  <c r="B101" i="5"/>
  <c r="A101" i="5"/>
  <c r="J100" i="5"/>
  <c r="Z100" i="5"/>
  <c r="Y100" i="5"/>
  <c r="X100" i="5"/>
  <c r="F100" i="5"/>
  <c r="D100" i="5"/>
  <c r="C100" i="5"/>
  <c r="B100" i="5"/>
  <c r="A100" i="5"/>
  <c r="G99" i="5"/>
  <c r="E99" i="5"/>
  <c r="J98" i="5"/>
  <c r="F98" i="5"/>
  <c r="E98" i="5"/>
  <c r="J97" i="5"/>
  <c r="F97" i="5"/>
  <c r="E97" i="5"/>
  <c r="J96" i="5"/>
  <c r="G96" i="5"/>
  <c r="F96" i="5"/>
  <c r="J95" i="5"/>
  <c r="G95" i="5"/>
  <c r="F95" i="5"/>
  <c r="J94" i="5"/>
  <c r="G94" i="5"/>
  <c r="F94" i="5"/>
  <c r="J93" i="5"/>
  <c r="G93" i="5"/>
  <c r="F93" i="5"/>
  <c r="F91" i="5"/>
  <c r="D91" i="5"/>
  <c r="I91" i="5"/>
  <c r="C91" i="5"/>
  <c r="B91" i="5"/>
  <c r="A91" i="5"/>
  <c r="Z90" i="5"/>
  <c r="Y90" i="5"/>
  <c r="X90" i="5"/>
  <c r="J89" i="5"/>
  <c r="Z89" i="5"/>
  <c r="Y89" i="5"/>
  <c r="X89" i="5"/>
  <c r="F89" i="5"/>
  <c r="D89" i="5"/>
  <c r="C89" i="5"/>
  <c r="B89" i="5"/>
  <c r="A89" i="5"/>
  <c r="J88" i="5"/>
  <c r="Z88" i="5"/>
  <c r="Y88" i="5"/>
  <c r="X88" i="5"/>
  <c r="F88" i="5"/>
  <c r="D88" i="5"/>
  <c r="C88" i="5"/>
  <c r="B88" i="5"/>
  <c r="A88" i="5"/>
  <c r="J87" i="5"/>
  <c r="Z87" i="5"/>
  <c r="Y87" i="5"/>
  <c r="X87" i="5"/>
  <c r="F87" i="5"/>
  <c r="D87" i="5"/>
  <c r="C87" i="5"/>
  <c r="B87" i="5"/>
  <c r="A87" i="5"/>
  <c r="G86" i="5"/>
  <c r="E86" i="5"/>
  <c r="J85" i="5"/>
  <c r="F85" i="5"/>
  <c r="E85" i="5"/>
  <c r="J84" i="5"/>
  <c r="F84" i="5"/>
  <c r="E84" i="5"/>
  <c r="J83" i="5"/>
  <c r="G83" i="5"/>
  <c r="F83" i="5"/>
  <c r="J82" i="5"/>
  <c r="G82" i="5"/>
  <c r="F82" i="5"/>
  <c r="J81" i="5"/>
  <c r="G81" i="5"/>
  <c r="F81" i="5"/>
  <c r="J80" i="5"/>
  <c r="G80" i="5"/>
  <c r="F80" i="5"/>
  <c r="F78" i="5"/>
  <c r="D78" i="5"/>
  <c r="I78" i="5"/>
  <c r="C78" i="5"/>
  <c r="B78" i="5"/>
  <c r="A78" i="5"/>
  <c r="Z77" i="5"/>
  <c r="Y77" i="5"/>
  <c r="X77" i="5"/>
  <c r="G76" i="5"/>
  <c r="E76" i="5"/>
  <c r="J75" i="5"/>
  <c r="E75" i="5"/>
  <c r="J74" i="5"/>
  <c r="E74" i="5"/>
  <c r="J73" i="5"/>
  <c r="G73" i="5"/>
  <c r="F73" i="5"/>
  <c r="J72" i="5"/>
  <c r="G72" i="5"/>
  <c r="F72" i="5"/>
  <c r="J71" i="5"/>
  <c r="G71" i="5"/>
  <c r="F71" i="5"/>
  <c r="J70" i="5"/>
  <c r="G70" i="5"/>
  <c r="F70" i="5"/>
  <c r="F68" i="5"/>
  <c r="D68" i="5"/>
  <c r="I68" i="5"/>
  <c r="C68" i="5"/>
  <c r="B68" i="5"/>
  <c r="A68" i="5"/>
  <c r="Z67" i="5"/>
  <c r="Y67" i="5"/>
  <c r="X67" i="5"/>
  <c r="J66" i="5"/>
  <c r="Z66" i="5"/>
  <c r="Y66" i="5"/>
  <c r="X66" i="5"/>
  <c r="F66" i="5"/>
  <c r="D66" i="5"/>
  <c r="C66" i="5"/>
  <c r="B66" i="5"/>
  <c r="A66" i="5"/>
  <c r="J65" i="5"/>
  <c r="Z65" i="5"/>
  <c r="Y65" i="5"/>
  <c r="X65" i="5"/>
  <c r="F65" i="5"/>
  <c r="D65" i="5"/>
  <c r="C65" i="5"/>
  <c r="B65" i="5"/>
  <c r="A65" i="5"/>
  <c r="G64" i="5"/>
  <c r="E64" i="5"/>
  <c r="J63" i="5"/>
  <c r="E63" i="5"/>
  <c r="J62" i="5"/>
  <c r="E62" i="5"/>
  <c r="J61" i="5"/>
  <c r="G61" i="5"/>
  <c r="F61" i="5"/>
  <c r="J60" i="5"/>
  <c r="G60" i="5"/>
  <c r="F60" i="5"/>
  <c r="J59" i="5"/>
  <c r="G59" i="5"/>
  <c r="F59" i="5"/>
  <c r="J58" i="5"/>
  <c r="G58" i="5"/>
  <c r="F58" i="5"/>
  <c r="F56" i="5"/>
  <c r="D56" i="5"/>
  <c r="I56" i="5"/>
  <c r="C56" i="5"/>
  <c r="B56" i="5"/>
  <c r="A56" i="5"/>
  <c r="Z55" i="5"/>
  <c r="Y55" i="5"/>
  <c r="X55" i="5"/>
  <c r="G54" i="5"/>
  <c r="E54" i="5"/>
  <c r="J53" i="5"/>
  <c r="F53" i="5"/>
  <c r="E53" i="5"/>
  <c r="J52" i="5"/>
  <c r="F52" i="5"/>
  <c r="E52" i="5"/>
  <c r="J51" i="5"/>
  <c r="G51" i="5"/>
  <c r="F51" i="5"/>
  <c r="J50" i="5"/>
  <c r="G50" i="5"/>
  <c r="F50" i="5"/>
  <c r="J49" i="5"/>
  <c r="G49" i="5"/>
  <c r="F49" i="5"/>
  <c r="J48" i="5"/>
  <c r="G48" i="5"/>
  <c r="F48" i="5"/>
  <c r="F46" i="5"/>
  <c r="D46" i="5"/>
  <c r="I46" i="5"/>
  <c r="C46" i="5"/>
  <c r="B46" i="5"/>
  <c r="A46" i="5"/>
  <c r="Z45" i="5"/>
  <c r="Y45" i="5"/>
  <c r="X45" i="5"/>
  <c r="G44" i="5"/>
  <c r="E44" i="5"/>
  <c r="J43" i="5"/>
  <c r="E43" i="5"/>
  <c r="J42" i="5"/>
  <c r="E42" i="5"/>
  <c r="J41" i="5"/>
  <c r="G41" i="5"/>
  <c r="F41" i="5"/>
  <c r="J40" i="5"/>
  <c r="G40" i="5"/>
  <c r="F40" i="5"/>
  <c r="J39" i="5"/>
  <c r="G39" i="5"/>
  <c r="F39" i="5"/>
  <c r="F37" i="5"/>
  <c r="D37" i="5"/>
  <c r="I37" i="5"/>
  <c r="C37" i="5"/>
  <c r="B37" i="5"/>
  <c r="A37" i="5"/>
  <c r="Z36" i="5"/>
  <c r="Y36" i="5"/>
  <c r="X36" i="5"/>
  <c r="G35" i="5"/>
  <c r="E35" i="5"/>
  <c r="J34" i="5"/>
  <c r="E34" i="5"/>
  <c r="J33" i="5"/>
  <c r="E33" i="5"/>
  <c r="J32" i="5"/>
  <c r="G32" i="5"/>
  <c r="F32" i="5"/>
  <c r="F30" i="5"/>
  <c r="D30" i="5"/>
  <c r="I30" i="5"/>
  <c r="C30" i="5"/>
  <c r="B30" i="5"/>
  <c r="A30" i="5"/>
  <c r="A29" i="5"/>
  <c r="B14" i="5"/>
  <c r="B12" i="5"/>
  <c r="A1" i="5"/>
  <c r="G22" i="5" l="1"/>
  <c r="G21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X195" i="3"/>
  <c r="CY195" i="3"/>
  <c r="CZ195" i="3"/>
  <c r="DA195" i="3"/>
  <c r="A196" i="3"/>
  <c r="CX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CQ28" i="1" s="1"/>
  <c r="P28" i="1" s="1"/>
  <c r="AE28" i="1"/>
  <c r="AF28" i="1"/>
  <c r="AG28" i="1"/>
  <c r="CU28" i="1" s="1"/>
  <c r="AH28" i="1"/>
  <c r="AI28" i="1"/>
  <c r="AJ28" i="1"/>
  <c r="CX28" i="1" s="1"/>
  <c r="W28" i="1" s="1"/>
  <c r="CV28" i="1"/>
  <c r="U28" i="1" s="1"/>
  <c r="CW28" i="1"/>
  <c r="V28" i="1" s="1"/>
  <c r="FR28" i="1"/>
  <c r="GL28" i="1"/>
  <c r="GO28" i="1"/>
  <c r="GP28" i="1"/>
  <c r="GV28" i="1"/>
  <c r="GX28" i="1" s="1"/>
  <c r="C29" i="1"/>
  <c r="D29" i="1"/>
  <c r="I29" i="1"/>
  <c r="AC29" i="1"/>
  <c r="AE29" i="1"/>
  <c r="AF29" i="1"/>
  <c r="AG29" i="1"/>
  <c r="CU29" i="1" s="1"/>
  <c r="AH29" i="1"/>
  <c r="AI29" i="1"/>
  <c r="CW29" i="1" s="1"/>
  <c r="V29" i="1" s="1"/>
  <c r="AJ29" i="1"/>
  <c r="CX29" i="1" s="1"/>
  <c r="W29" i="1" s="1"/>
  <c r="CV29" i="1"/>
  <c r="U29" i="1" s="1"/>
  <c r="FR29" i="1"/>
  <c r="GL29" i="1"/>
  <c r="GO29" i="1"/>
  <c r="GP29" i="1"/>
  <c r="GV29" i="1"/>
  <c r="GX29" i="1" s="1"/>
  <c r="C30" i="1"/>
  <c r="D30" i="1"/>
  <c r="I30" i="1"/>
  <c r="AC30" i="1"/>
  <c r="H51" i="5" s="1"/>
  <c r="AE30" i="1"/>
  <c r="H50" i="5" s="1"/>
  <c r="R50" i="5" s="1"/>
  <c r="AF30" i="1"/>
  <c r="CT30" i="1" s="1"/>
  <c r="S30" i="1" s="1"/>
  <c r="K48" i="5" s="1"/>
  <c r="AG30" i="1"/>
  <c r="CU30" i="1" s="1"/>
  <c r="AH30" i="1"/>
  <c r="AI30" i="1"/>
  <c r="CW30" i="1" s="1"/>
  <c r="AJ30" i="1"/>
  <c r="CV30" i="1"/>
  <c r="CX30" i="1"/>
  <c r="W30" i="1" s="1"/>
  <c r="FR30" i="1"/>
  <c r="GL30" i="1"/>
  <c r="GO30" i="1"/>
  <c r="GP30" i="1"/>
  <c r="GV30" i="1"/>
  <c r="C31" i="1"/>
  <c r="D31" i="1"/>
  <c r="I31" i="1"/>
  <c r="AC31" i="1"/>
  <c r="AD31" i="1"/>
  <c r="AE31" i="1"/>
  <c r="AF31" i="1"/>
  <c r="AG31" i="1"/>
  <c r="AH31" i="1"/>
  <c r="CV31" i="1" s="1"/>
  <c r="AI31" i="1"/>
  <c r="CW31" i="1" s="1"/>
  <c r="V31" i="1" s="1"/>
  <c r="AJ31" i="1"/>
  <c r="CX31" i="1" s="1"/>
  <c r="CQ31" i="1"/>
  <c r="P31" i="1" s="1"/>
  <c r="K61" i="5" s="1"/>
  <c r="CS31" i="1"/>
  <c r="CU31" i="1"/>
  <c r="FR31" i="1"/>
  <c r="GL31" i="1"/>
  <c r="GO31" i="1"/>
  <c r="GP31" i="1"/>
  <c r="GV31" i="1"/>
  <c r="AC32" i="1"/>
  <c r="AE32" i="1"/>
  <c r="AF32" i="1"/>
  <c r="AG32" i="1"/>
  <c r="CU32" i="1" s="1"/>
  <c r="AH32" i="1"/>
  <c r="AI32" i="1"/>
  <c r="CW32" i="1" s="1"/>
  <c r="AJ32" i="1"/>
  <c r="CT32" i="1"/>
  <c r="CV32" i="1"/>
  <c r="CX32" i="1"/>
  <c r="FR32" i="1"/>
  <c r="GL32" i="1"/>
  <c r="GO32" i="1"/>
  <c r="GP32" i="1"/>
  <c r="GV32" i="1"/>
  <c r="AC33" i="1"/>
  <c r="AE33" i="1"/>
  <c r="AD33" i="1" s="1"/>
  <c r="AF33" i="1"/>
  <c r="AG33" i="1"/>
  <c r="AH33" i="1"/>
  <c r="CV33" i="1" s="1"/>
  <c r="AI33" i="1"/>
  <c r="AJ33" i="1"/>
  <c r="CX33" i="1" s="1"/>
  <c r="CQ33" i="1"/>
  <c r="CU33" i="1"/>
  <c r="CW33" i="1"/>
  <c r="FR33" i="1"/>
  <c r="GL33" i="1"/>
  <c r="GO33" i="1"/>
  <c r="GP33" i="1"/>
  <c r="GV33" i="1"/>
  <c r="C34" i="1"/>
  <c r="D34" i="1"/>
  <c r="I34" i="1"/>
  <c r="AC34" i="1"/>
  <c r="AE34" i="1"/>
  <c r="H72" i="5" s="1"/>
  <c r="R72" i="5" s="1"/>
  <c r="AF34" i="1"/>
  <c r="CT34" i="1" s="1"/>
  <c r="S34" i="1" s="1"/>
  <c r="K70" i="5" s="1"/>
  <c r="AG34" i="1"/>
  <c r="CU34" i="1" s="1"/>
  <c r="AH34" i="1"/>
  <c r="AI34" i="1"/>
  <c r="CW34" i="1" s="1"/>
  <c r="V34" i="1" s="1"/>
  <c r="AJ34" i="1"/>
  <c r="CV34" i="1"/>
  <c r="U34" i="1" s="1"/>
  <c r="CX34" i="1"/>
  <c r="W34" i="1" s="1"/>
  <c r="FR34" i="1"/>
  <c r="GL34" i="1"/>
  <c r="GO34" i="1"/>
  <c r="GP34" i="1"/>
  <c r="GV34" i="1"/>
  <c r="C35" i="1"/>
  <c r="D35" i="1"/>
  <c r="I35" i="1"/>
  <c r="AC35" i="1"/>
  <c r="AD35" i="1"/>
  <c r="AE35" i="1"/>
  <c r="AF35" i="1"/>
  <c r="AG35" i="1"/>
  <c r="AH35" i="1"/>
  <c r="CV35" i="1" s="1"/>
  <c r="AI35" i="1"/>
  <c r="CW35" i="1" s="1"/>
  <c r="AJ35" i="1"/>
  <c r="CX35" i="1" s="1"/>
  <c r="CQ35" i="1"/>
  <c r="CS35" i="1"/>
  <c r="CU35" i="1"/>
  <c r="FR35" i="1"/>
  <c r="GL35" i="1"/>
  <c r="GO35" i="1"/>
  <c r="GP35" i="1"/>
  <c r="GV35" i="1"/>
  <c r="AC36" i="1"/>
  <c r="AE36" i="1"/>
  <c r="AF36" i="1"/>
  <c r="AG36" i="1"/>
  <c r="CU36" i="1" s="1"/>
  <c r="AH36" i="1"/>
  <c r="AI36" i="1"/>
  <c r="CW36" i="1" s="1"/>
  <c r="AJ36" i="1"/>
  <c r="CX36" i="1" s="1"/>
  <c r="CT36" i="1"/>
  <c r="CV36" i="1"/>
  <c r="FR36" i="1"/>
  <c r="GL36" i="1"/>
  <c r="GO36" i="1"/>
  <c r="GP36" i="1"/>
  <c r="GV36" i="1"/>
  <c r="I37" i="1"/>
  <c r="AC37" i="1"/>
  <c r="AE37" i="1"/>
  <c r="AF37" i="1"/>
  <c r="AG37" i="1"/>
  <c r="AH37" i="1"/>
  <c r="CV37" i="1" s="1"/>
  <c r="AI37" i="1"/>
  <c r="CW37" i="1" s="1"/>
  <c r="AJ37" i="1"/>
  <c r="CX37" i="1" s="1"/>
  <c r="CQ37" i="1"/>
  <c r="CU37" i="1"/>
  <c r="FR37" i="1"/>
  <c r="GL37" i="1"/>
  <c r="GO37" i="1"/>
  <c r="GP37" i="1"/>
  <c r="GV37" i="1"/>
  <c r="AC38" i="1"/>
  <c r="AE38" i="1"/>
  <c r="AF38" i="1"/>
  <c r="CT38" i="1" s="1"/>
  <c r="AG38" i="1"/>
  <c r="CU38" i="1" s="1"/>
  <c r="AH38" i="1"/>
  <c r="AI38" i="1"/>
  <c r="CW38" i="1" s="1"/>
  <c r="AJ38" i="1"/>
  <c r="CV38" i="1"/>
  <c r="CX38" i="1"/>
  <c r="FR38" i="1"/>
  <c r="GL38" i="1"/>
  <c r="GO38" i="1"/>
  <c r="GP38" i="1"/>
  <c r="GV38" i="1"/>
  <c r="C39" i="1"/>
  <c r="D39" i="1"/>
  <c r="I39" i="1"/>
  <c r="AC39" i="1"/>
  <c r="AE39" i="1"/>
  <c r="AF39" i="1"/>
  <c r="AG39" i="1"/>
  <c r="CU39" i="1" s="1"/>
  <c r="AH39" i="1"/>
  <c r="CV39" i="1" s="1"/>
  <c r="AI39" i="1"/>
  <c r="CW39" i="1" s="1"/>
  <c r="V39" i="1" s="1"/>
  <c r="AJ39" i="1"/>
  <c r="CT39" i="1"/>
  <c r="CX39" i="1"/>
  <c r="W39" i="1" s="1"/>
  <c r="FR39" i="1"/>
  <c r="GL39" i="1"/>
  <c r="GO39" i="1"/>
  <c r="GP39" i="1"/>
  <c r="GV39" i="1"/>
  <c r="I40" i="1"/>
  <c r="E100" i="5" s="1"/>
  <c r="AC40" i="1"/>
  <c r="AD40" i="1"/>
  <c r="CR40" i="1" s="1"/>
  <c r="AE40" i="1"/>
  <c r="AF40" i="1"/>
  <c r="AG40" i="1"/>
  <c r="CU40" i="1" s="1"/>
  <c r="AH40" i="1"/>
  <c r="CV40" i="1" s="1"/>
  <c r="AI40" i="1"/>
  <c r="AJ40" i="1"/>
  <c r="CS40" i="1"/>
  <c r="CT40" i="1"/>
  <c r="S40" i="1" s="1"/>
  <c r="CW40" i="1"/>
  <c r="CX40" i="1"/>
  <c r="W40" i="1" s="1"/>
  <c r="FR40" i="1"/>
  <c r="GL40" i="1"/>
  <c r="GO40" i="1"/>
  <c r="GP40" i="1"/>
  <c r="GV40" i="1"/>
  <c r="AC41" i="1"/>
  <c r="AE41" i="1"/>
  <c r="AD41" i="1" s="1"/>
  <c r="AF41" i="1"/>
  <c r="AG41" i="1"/>
  <c r="CU41" i="1" s="1"/>
  <c r="AH41" i="1"/>
  <c r="CV41" i="1" s="1"/>
  <c r="AI41" i="1"/>
  <c r="AJ41" i="1"/>
  <c r="CX41" i="1" s="1"/>
  <c r="CW41" i="1"/>
  <c r="FR41" i="1"/>
  <c r="GL41" i="1"/>
  <c r="GO41" i="1"/>
  <c r="GP41" i="1"/>
  <c r="GV41" i="1"/>
  <c r="AC42" i="1"/>
  <c r="AE42" i="1"/>
  <c r="CS42" i="1" s="1"/>
  <c r="AF42" i="1"/>
  <c r="AG42" i="1"/>
  <c r="CU42" i="1" s="1"/>
  <c r="AH42" i="1"/>
  <c r="AI42" i="1"/>
  <c r="CW42" i="1" s="1"/>
  <c r="AJ42" i="1"/>
  <c r="CX42" i="1" s="1"/>
  <c r="CQ42" i="1"/>
  <c r="CV42" i="1"/>
  <c r="FR42" i="1"/>
  <c r="GL42" i="1"/>
  <c r="GO42" i="1"/>
  <c r="GP42" i="1"/>
  <c r="GV42" i="1"/>
  <c r="AC43" i="1"/>
  <c r="AD43" i="1"/>
  <c r="CR43" i="1" s="1"/>
  <c r="AE43" i="1"/>
  <c r="CS43" i="1" s="1"/>
  <c r="AF43" i="1"/>
  <c r="AG43" i="1"/>
  <c r="CU43" i="1" s="1"/>
  <c r="AH43" i="1"/>
  <c r="CV43" i="1" s="1"/>
  <c r="AI43" i="1"/>
  <c r="CW43" i="1" s="1"/>
  <c r="AJ43" i="1"/>
  <c r="CT43" i="1"/>
  <c r="CX43" i="1"/>
  <c r="FR43" i="1"/>
  <c r="GL43" i="1"/>
  <c r="GO43" i="1"/>
  <c r="GP43" i="1"/>
  <c r="GV43" i="1"/>
  <c r="AC44" i="1"/>
  <c r="AE44" i="1"/>
  <c r="AD44" i="1" s="1"/>
  <c r="CR44" i="1" s="1"/>
  <c r="AF44" i="1"/>
  <c r="AG44" i="1"/>
  <c r="CU44" i="1" s="1"/>
  <c r="AH44" i="1"/>
  <c r="CV44" i="1" s="1"/>
  <c r="AI44" i="1"/>
  <c r="CW44" i="1" s="1"/>
  <c r="AJ44" i="1"/>
  <c r="CX44" i="1" s="1"/>
  <c r="CS44" i="1"/>
  <c r="FR44" i="1"/>
  <c r="GL44" i="1"/>
  <c r="GO44" i="1"/>
  <c r="GP44" i="1"/>
  <c r="GV44" i="1"/>
  <c r="I45" i="1"/>
  <c r="AC45" i="1"/>
  <c r="AE45" i="1"/>
  <c r="AF45" i="1"/>
  <c r="AG45" i="1"/>
  <c r="CU45" i="1" s="1"/>
  <c r="AH45" i="1"/>
  <c r="AI45" i="1"/>
  <c r="CW45" i="1" s="1"/>
  <c r="AJ45" i="1"/>
  <c r="CX45" i="1" s="1"/>
  <c r="CV45" i="1"/>
  <c r="FR45" i="1"/>
  <c r="GL45" i="1"/>
  <c r="GO45" i="1"/>
  <c r="GP45" i="1"/>
  <c r="GV45" i="1"/>
  <c r="C46" i="1"/>
  <c r="D46" i="1"/>
  <c r="I46" i="1"/>
  <c r="AC46" i="1"/>
  <c r="H110" i="5" s="1"/>
  <c r="AD46" i="1"/>
  <c r="CR46" i="1" s="1"/>
  <c r="Q46" i="1" s="1"/>
  <c r="AE46" i="1"/>
  <c r="AF46" i="1"/>
  <c r="AG46" i="1"/>
  <c r="CU46" i="1" s="1"/>
  <c r="T46" i="1" s="1"/>
  <c r="AH46" i="1"/>
  <c r="CV46" i="1" s="1"/>
  <c r="U46" i="1" s="1"/>
  <c r="AI46" i="1"/>
  <c r="AJ46" i="1"/>
  <c r="CS46" i="1"/>
  <c r="R46" i="1" s="1"/>
  <c r="GK46" i="1" s="1"/>
  <c r="CT46" i="1"/>
  <c r="S46" i="1" s="1"/>
  <c r="K109" i="5" s="1"/>
  <c r="CW46" i="1"/>
  <c r="V46" i="1" s="1"/>
  <c r="CX46" i="1"/>
  <c r="W46" i="1" s="1"/>
  <c r="FR46" i="1"/>
  <c r="GL46" i="1"/>
  <c r="GO46" i="1"/>
  <c r="GP46" i="1"/>
  <c r="GV46" i="1"/>
  <c r="GX46" i="1" s="1"/>
  <c r="I47" i="1"/>
  <c r="E114" i="5" s="1"/>
  <c r="Q47" i="1"/>
  <c r="AC47" i="1"/>
  <c r="AE47" i="1"/>
  <c r="AD47" i="1" s="1"/>
  <c r="AF47" i="1"/>
  <c r="AG47" i="1"/>
  <c r="CU47" i="1" s="1"/>
  <c r="T47" i="1" s="1"/>
  <c r="AH47" i="1"/>
  <c r="AI47" i="1"/>
  <c r="AJ47" i="1"/>
  <c r="CX47" i="1" s="1"/>
  <c r="W47" i="1" s="1"/>
  <c r="CR47" i="1"/>
  <c r="CV47" i="1"/>
  <c r="U47" i="1" s="1"/>
  <c r="CW47" i="1"/>
  <c r="V47" i="1" s="1"/>
  <c r="FR47" i="1"/>
  <c r="GL47" i="1"/>
  <c r="GO47" i="1"/>
  <c r="GP47" i="1"/>
  <c r="GV47" i="1"/>
  <c r="GX47" i="1" s="1"/>
  <c r="C48" i="1"/>
  <c r="D48" i="1"/>
  <c r="AC48" i="1"/>
  <c r="H119" i="5" s="1"/>
  <c r="AE48" i="1"/>
  <c r="AF48" i="1"/>
  <c r="AG48" i="1"/>
  <c r="AH48" i="1"/>
  <c r="CV48" i="1" s="1"/>
  <c r="U48" i="1" s="1"/>
  <c r="AI48" i="1"/>
  <c r="CW48" i="1" s="1"/>
  <c r="V48" i="1" s="1"/>
  <c r="AJ48" i="1"/>
  <c r="CQ48" i="1"/>
  <c r="P48" i="1" s="1"/>
  <c r="K119" i="5" s="1"/>
  <c r="CU48" i="1"/>
  <c r="T48" i="1" s="1"/>
  <c r="CX48" i="1"/>
  <c r="W48" i="1" s="1"/>
  <c r="FR48" i="1"/>
  <c r="GL48" i="1"/>
  <c r="GO48" i="1"/>
  <c r="GP48" i="1"/>
  <c r="GV48" i="1"/>
  <c r="GX48" i="1" s="1"/>
  <c r="I49" i="1"/>
  <c r="E123" i="5" s="1"/>
  <c r="AC49" i="1"/>
  <c r="AD49" i="1"/>
  <c r="CR49" i="1" s="1"/>
  <c r="Q49" i="1" s="1"/>
  <c r="AE49" i="1"/>
  <c r="AF49" i="1"/>
  <c r="AG49" i="1"/>
  <c r="AH49" i="1"/>
  <c r="CV49" i="1" s="1"/>
  <c r="U49" i="1" s="1"/>
  <c r="AI49" i="1"/>
  <c r="CW49" i="1" s="1"/>
  <c r="V49" i="1" s="1"/>
  <c r="AJ49" i="1"/>
  <c r="CX49" i="1" s="1"/>
  <c r="CQ49" i="1"/>
  <c r="CS49" i="1"/>
  <c r="R49" i="1" s="1"/>
  <c r="CU49" i="1"/>
  <c r="T49" i="1" s="1"/>
  <c r="FR49" i="1"/>
  <c r="GK49" i="1"/>
  <c r="GL49" i="1"/>
  <c r="GO49" i="1"/>
  <c r="GP49" i="1"/>
  <c r="GV49" i="1"/>
  <c r="GX49" i="1" s="1"/>
  <c r="C50" i="1"/>
  <c r="D50" i="1"/>
  <c r="AC50" i="1"/>
  <c r="H129" i="5" s="1"/>
  <c r="AE50" i="1"/>
  <c r="AF50" i="1"/>
  <c r="AG50" i="1"/>
  <c r="AH50" i="1"/>
  <c r="CV50" i="1" s="1"/>
  <c r="U50" i="1" s="1"/>
  <c r="AI50" i="1"/>
  <c r="CW50" i="1" s="1"/>
  <c r="V50" i="1" s="1"/>
  <c r="AJ50" i="1"/>
  <c r="CX50" i="1" s="1"/>
  <c r="W50" i="1" s="1"/>
  <c r="CQ50" i="1"/>
  <c r="P50" i="1" s="1"/>
  <c r="K129" i="5" s="1"/>
  <c r="CU50" i="1"/>
  <c r="T50" i="1" s="1"/>
  <c r="FR50" i="1"/>
  <c r="GL50" i="1"/>
  <c r="GO50" i="1"/>
  <c r="GP50" i="1"/>
  <c r="GV50" i="1"/>
  <c r="GX50" i="1" s="1"/>
  <c r="I51" i="1"/>
  <c r="E133" i="5" s="1"/>
  <c r="AC51" i="1"/>
  <c r="AE51" i="1"/>
  <c r="AF51" i="1"/>
  <c r="CT51" i="1" s="1"/>
  <c r="S51" i="1" s="1"/>
  <c r="AG51" i="1"/>
  <c r="CU51" i="1" s="1"/>
  <c r="AH51" i="1"/>
  <c r="AI51" i="1"/>
  <c r="CW51" i="1" s="1"/>
  <c r="AJ51" i="1"/>
  <c r="CX51" i="1" s="1"/>
  <c r="W51" i="1" s="1"/>
  <c r="CV51" i="1"/>
  <c r="FR51" i="1"/>
  <c r="GL51" i="1"/>
  <c r="GO51" i="1"/>
  <c r="GP51" i="1"/>
  <c r="GV51" i="1"/>
  <c r="GX51" i="1" s="1"/>
  <c r="I52" i="1"/>
  <c r="E134" i="5" s="1"/>
  <c r="AC52" i="1"/>
  <c r="AE52" i="1"/>
  <c r="AF52" i="1"/>
  <c r="AG52" i="1"/>
  <c r="CU52" i="1" s="1"/>
  <c r="T52" i="1" s="1"/>
  <c r="AH52" i="1"/>
  <c r="AI52" i="1"/>
  <c r="CW52" i="1" s="1"/>
  <c r="V52" i="1" s="1"/>
  <c r="AJ52" i="1"/>
  <c r="CX52" i="1" s="1"/>
  <c r="W52" i="1" s="1"/>
  <c r="CV52" i="1"/>
  <c r="U52" i="1" s="1"/>
  <c r="FR52" i="1"/>
  <c r="GL52" i="1"/>
  <c r="GO52" i="1"/>
  <c r="GP52" i="1"/>
  <c r="GV52" i="1"/>
  <c r="GX52" i="1" s="1"/>
  <c r="C53" i="1"/>
  <c r="D53" i="1"/>
  <c r="I53" i="1"/>
  <c r="CX65" i="3" s="1"/>
  <c r="P53" i="1"/>
  <c r="U53" i="1"/>
  <c r="AC53" i="1"/>
  <c r="H141" i="5" s="1"/>
  <c r="AD53" i="1"/>
  <c r="H139" i="5" s="1"/>
  <c r="AE53" i="1"/>
  <c r="H140" i="5" s="1"/>
  <c r="R140" i="5" s="1"/>
  <c r="AF53" i="1"/>
  <c r="AG53" i="1"/>
  <c r="AH53" i="1"/>
  <c r="CV53" i="1" s="1"/>
  <c r="AI53" i="1"/>
  <c r="CW53" i="1" s="1"/>
  <c r="V53" i="1" s="1"/>
  <c r="AJ53" i="1"/>
  <c r="CX53" i="1" s="1"/>
  <c r="W53" i="1" s="1"/>
  <c r="CQ53" i="1"/>
  <c r="CR53" i="1"/>
  <c r="Q53" i="1" s="1"/>
  <c r="K139" i="5" s="1"/>
  <c r="CS53" i="1"/>
  <c r="R53" i="1" s="1"/>
  <c r="CU53" i="1"/>
  <c r="T53" i="1" s="1"/>
  <c r="FR53" i="1"/>
  <c r="GL53" i="1"/>
  <c r="GO53" i="1"/>
  <c r="GP53" i="1"/>
  <c r="GV53" i="1"/>
  <c r="GX53" i="1" s="1"/>
  <c r="AC54" i="1"/>
  <c r="AE54" i="1"/>
  <c r="AD54" i="1" s="1"/>
  <c r="AF54" i="1"/>
  <c r="AG54" i="1"/>
  <c r="CU54" i="1" s="1"/>
  <c r="AH54" i="1"/>
  <c r="CV54" i="1" s="1"/>
  <c r="AI54" i="1"/>
  <c r="CW54" i="1" s="1"/>
  <c r="AJ54" i="1"/>
  <c r="CX54" i="1" s="1"/>
  <c r="CQ54" i="1"/>
  <c r="FR54" i="1"/>
  <c r="GL54" i="1"/>
  <c r="GO54" i="1"/>
  <c r="GP54" i="1"/>
  <c r="GV54" i="1"/>
  <c r="I55" i="1"/>
  <c r="E146" i="5" s="1"/>
  <c r="AC55" i="1"/>
  <c r="AE55" i="1"/>
  <c r="CS55" i="1" s="1"/>
  <c r="R55" i="1" s="1"/>
  <c r="GK55" i="1" s="1"/>
  <c r="AF55" i="1"/>
  <c r="CT55" i="1" s="1"/>
  <c r="S55" i="1" s="1"/>
  <c r="AG55" i="1"/>
  <c r="CU55" i="1" s="1"/>
  <c r="T55" i="1" s="1"/>
  <c r="AH55" i="1"/>
  <c r="AI55" i="1"/>
  <c r="CW55" i="1" s="1"/>
  <c r="V55" i="1" s="1"/>
  <c r="AJ55" i="1"/>
  <c r="CX55" i="1" s="1"/>
  <c r="W55" i="1" s="1"/>
  <c r="CV55" i="1"/>
  <c r="U55" i="1" s="1"/>
  <c r="FR55" i="1"/>
  <c r="GL55" i="1"/>
  <c r="GO55" i="1"/>
  <c r="GP55" i="1"/>
  <c r="GV55" i="1"/>
  <c r="GX55" i="1" s="1"/>
  <c r="I56" i="1"/>
  <c r="E147" i="5" s="1"/>
  <c r="AC56" i="1"/>
  <c r="AD56" i="1"/>
  <c r="CR56" i="1" s="1"/>
  <c r="AE56" i="1"/>
  <c r="AF56" i="1"/>
  <c r="AG56" i="1"/>
  <c r="AH56" i="1"/>
  <c r="CV56" i="1" s="1"/>
  <c r="AI56" i="1"/>
  <c r="AJ56" i="1"/>
  <c r="CX56" i="1" s="1"/>
  <c r="CQ56" i="1"/>
  <c r="CS56" i="1"/>
  <c r="R56" i="1" s="1"/>
  <c r="GK56" i="1" s="1"/>
  <c r="CU56" i="1"/>
  <c r="T56" i="1" s="1"/>
  <c r="CW56" i="1"/>
  <c r="V56" i="1" s="1"/>
  <c r="FR56" i="1"/>
  <c r="GL56" i="1"/>
  <c r="GO56" i="1"/>
  <c r="GP56" i="1"/>
  <c r="GV56" i="1"/>
  <c r="GX56" i="1"/>
  <c r="C57" i="1"/>
  <c r="D57" i="1"/>
  <c r="I57" i="1"/>
  <c r="AC57" i="1"/>
  <c r="H154" i="5" s="1"/>
  <c r="AE57" i="1"/>
  <c r="AF57" i="1"/>
  <c r="AG57" i="1"/>
  <c r="CU57" i="1" s="1"/>
  <c r="T57" i="1" s="1"/>
  <c r="AH57" i="1"/>
  <c r="AI57" i="1"/>
  <c r="CW57" i="1" s="1"/>
  <c r="V57" i="1" s="1"/>
  <c r="AJ57" i="1"/>
  <c r="CT57" i="1"/>
  <c r="S57" i="1" s="1"/>
  <c r="K151" i="5" s="1"/>
  <c r="CV57" i="1"/>
  <c r="U57" i="1" s="1"/>
  <c r="CX57" i="1"/>
  <c r="W57" i="1" s="1"/>
  <c r="FR57" i="1"/>
  <c r="GL57" i="1"/>
  <c r="GO57" i="1"/>
  <c r="GP57" i="1"/>
  <c r="GV57" i="1"/>
  <c r="GX57" i="1" s="1"/>
  <c r="I58" i="1"/>
  <c r="E158" i="5" s="1"/>
  <c r="AC58" i="1"/>
  <c r="AD58" i="1"/>
  <c r="CR58" i="1" s="1"/>
  <c r="AE58" i="1"/>
  <c r="AF58" i="1"/>
  <c r="AG58" i="1"/>
  <c r="CU58" i="1" s="1"/>
  <c r="AH58" i="1"/>
  <c r="CV58" i="1" s="1"/>
  <c r="AI58" i="1"/>
  <c r="AJ58" i="1"/>
  <c r="CX58" i="1" s="1"/>
  <c r="CQ58" i="1"/>
  <c r="CS58" i="1"/>
  <c r="CW58" i="1"/>
  <c r="FR58" i="1"/>
  <c r="GL58" i="1"/>
  <c r="GO58" i="1"/>
  <c r="GP58" i="1"/>
  <c r="GV58" i="1"/>
  <c r="AC59" i="1"/>
  <c r="AE59" i="1"/>
  <c r="AF59" i="1"/>
  <c r="AG59" i="1"/>
  <c r="CU59" i="1" s="1"/>
  <c r="AH59" i="1"/>
  <c r="AI59" i="1"/>
  <c r="CW59" i="1" s="1"/>
  <c r="AJ59" i="1"/>
  <c r="CT59" i="1"/>
  <c r="CV59" i="1"/>
  <c r="CX59" i="1"/>
  <c r="FR59" i="1"/>
  <c r="GL59" i="1"/>
  <c r="GO59" i="1"/>
  <c r="GP59" i="1"/>
  <c r="GV59" i="1"/>
  <c r="C60" i="1"/>
  <c r="D60" i="1"/>
  <c r="I60" i="1"/>
  <c r="AC60" i="1"/>
  <c r="H166" i="5" s="1"/>
  <c r="AE60" i="1"/>
  <c r="H165" i="5" s="1"/>
  <c r="R165" i="5" s="1"/>
  <c r="AF60" i="1"/>
  <c r="AG60" i="1"/>
  <c r="CU60" i="1" s="1"/>
  <c r="T60" i="1" s="1"/>
  <c r="AH60" i="1"/>
  <c r="CV60" i="1" s="1"/>
  <c r="AI60" i="1"/>
  <c r="CW60" i="1" s="1"/>
  <c r="V60" i="1" s="1"/>
  <c r="AJ60" i="1"/>
  <c r="CX60" i="1" s="1"/>
  <c r="CQ60" i="1"/>
  <c r="P60" i="1" s="1"/>
  <c r="K166" i="5" s="1"/>
  <c r="FR60" i="1"/>
  <c r="GL60" i="1"/>
  <c r="GO60" i="1"/>
  <c r="GP60" i="1"/>
  <c r="GV60" i="1"/>
  <c r="GX60" i="1" s="1"/>
  <c r="AC61" i="1"/>
  <c r="AE61" i="1"/>
  <c r="AF61" i="1"/>
  <c r="AG61" i="1"/>
  <c r="CU61" i="1" s="1"/>
  <c r="AH61" i="1"/>
  <c r="AI61" i="1"/>
  <c r="CW61" i="1" s="1"/>
  <c r="AJ61" i="1"/>
  <c r="CX61" i="1" s="1"/>
  <c r="CV61" i="1"/>
  <c r="FR61" i="1"/>
  <c r="GL61" i="1"/>
  <c r="GO61" i="1"/>
  <c r="GP61" i="1"/>
  <c r="GV61" i="1"/>
  <c r="AC62" i="1"/>
  <c r="AD62" i="1"/>
  <c r="AE62" i="1"/>
  <c r="AF62" i="1"/>
  <c r="AG62" i="1"/>
  <c r="AH62" i="1"/>
  <c r="CV62" i="1" s="1"/>
  <c r="AI62" i="1"/>
  <c r="AJ62" i="1"/>
  <c r="CX62" i="1" s="1"/>
  <c r="CQ62" i="1"/>
  <c r="CS62" i="1"/>
  <c r="CU62" i="1"/>
  <c r="CW62" i="1"/>
  <c r="FR62" i="1"/>
  <c r="GL62" i="1"/>
  <c r="GO62" i="1"/>
  <c r="GP62" i="1"/>
  <c r="GV62" i="1"/>
  <c r="C63" i="1"/>
  <c r="D63" i="1"/>
  <c r="I63" i="1"/>
  <c r="AC63" i="1"/>
  <c r="AE63" i="1"/>
  <c r="AF63" i="1"/>
  <c r="AG63" i="1"/>
  <c r="CU63" i="1" s="1"/>
  <c r="AH63" i="1"/>
  <c r="AI63" i="1"/>
  <c r="CW63" i="1" s="1"/>
  <c r="AJ63" i="1"/>
  <c r="CT63" i="1"/>
  <c r="CV63" i="1"/>
  <c r="CX63" i="1"/>
  <c r="FR63" i="1"/>
  <c r="GL63" i="1"/>
  <c r="GO63" i="1"/>
  <c r="GP63" i="1"/>
  <c r="GV63" i="1"/>
  <c r="I64" i="1"/>
  <c r="E182" i="5" s="1"/>
  <c r="AC64" i="1"/>
  <c r="AE64" i="1"/>
  <c r="AD64" i="1" s="1"/>
  <c r="AF64" i="1"/>
  <c r="AG64" i="1"/>
  <c r="AH64" i="1"/>
  <c r="CV64" i="1" s="1"/>
  <c r="AI64" i="1"/>
  <c r="CW64" i="1" s="1"/>
  <c r="V64" i="1" s="1"/>
  <c r="AJ64" i="1"/>
  <c r="CX64" i="1" s="1"/>
  <c r="CQ64" i="1"/>
  <c r="P64" i="1" s="1"/>
  <c r="CU64" i="1"/>
  <c r="T64" i="1" s="1"/>
  <c r="FR64" i="1"/>
  <c r="GL64" i="1"/>
  <c r="GO64" i="1"/>
  <c r="GP64" i="1"/>
  <c r="GV64" i="1"/>
  <c r="GX64" i="1" s="1"/>
  <c r="I65" i="1"/>
  <c r="E183" i="5" s="1"/>
  <c r="AC65" i="1"/>
  <c r="AE65" i="1"/>
  <c r="CS65" i="1" s="1"/>
  <c r="AF65" i="1"/>
  <c r="AG65" i="1"/>
  <c r="CU65" i="1" s="1"/>
  <c r="AH65" i="1"/>
  <c r="AI65" i="1"/>
  <c r="CW65" i="1" s="1"/>
  <c r="AJ65" i="1"/>
  <c r="CX65" i="1" s="1"/>
  <c r="W65" i="1" s="1"/>
  <c r="CV65" i="1"/>
  <c r="FR65" i="1"/>
  <c r="GL65" i="1"/>
  <c r="GO65" i="1"/>
  <c r="GP65" i="1"/>
  <c r="GV65" i="1"/>
  <c r="C66" i="1"/>
  <c r="D66" i="1"/>
  <c r="I66" i="1"/>
  <c r="AC66" i="1"/>
  <c r="AE66" i="1"/>
  <c r="AD66" i="1" s="1"/>
  <c r="AF66" i="1"/>
  <c r="AG66" i="1"/>
  <c r="AH66" i="1"/>
  <c r="CV66" i="1" s="1"/>
  <c r="AI66" i="1"/>
  <c r="CW66" i="1" s="1"/>
  <c r="V66" i="1" s="1"/>
  <c r="AJ66" i="1"/>
  <c r="CX66" i="1" s="1"/>
  <c r="CQ66" i="1"/>
  <c r="P66" i="1" s="1"/>
  <c r="CU66" i="1"/>
  <c r="T66" i="1" s="1"/>
  <c r="FR66" i="1"/>
  <c r="GL66" i="1"/>
  <c r="GO66" i="1"/>
  <c r="GP66" i="1"/>
  <c r="GV66" i="1"/>
  <c r="GX66" i="1" s="1"/>
  <c r="AC67" i="1"/>
  <c r="AE67" i="1"/>
  <c r="CS67" i="1" s="1"/>
  <c r="AF67" i="1"/>
  <c r="AG67" i="1"/>
  <c r="CU67" i="1" s="1"/>
  <c r="AH67" i="1"/>
  <c r="AI67" i="1"/>
  <c r="CW67" i="1" s="1"/>
  <c r="AJ67" i="1"/>
  <c r="CT67" i="1"/>
  <c r="CV67" i="1"/>
  <c r="CX67" i="1"/>
  <c r="FR67" i="1"/>
  <c r="GL67" i="1"/>
  <c r="GO67" i="1"/>
  <c r="GP67" i="1"/>
  <c r="GV67" i="1"/>
  <c r="I68" i="1"/>
  <c r="E192" i="5" s="1"/>
  <c r="AC68" i="1"/>
  <c r="AD68" i="1"/>
  <c r="CR68" i="1" s="1"/>
  <c r="AE68" i="1"/>
  <c r="AF68" i="1"/>
  <c r="AG68" i="1"/>
  <c r="AH68" i="1"/>
  <c r="CV68" i="1" s="1"/>
  <c r="AI68" i="1"/>
  <c r="AJ68" i="1"/>
  <c r="CX68" i="1" s="1"/>
  <c r="CQ68" i="1"/>
  <c r="CS68" i="1"/>
  <c r="CU68" i="1"/>
  <c r="CW68" i="1"/>
  <c r="FR68" i="1"/>
  <c r="GL68" i="1"/>
  <c r="GO68" i="1"/>
  <c r="GP68" i="1"/>
  <c r="GV68" i="1"/>
  <c r="C69" i="1"/>
  <c r="D69" i="1"/>
  <c r="I69" i="1"/>
  <c r="AC69" i="1"/>
  <c r="AE69" i="1"/>
  <c r="AF69" i="1"/>
  <c r="AG69" i="1"/>
  <c r="CU69" i="1" s="1"/>
  <c r="AH69" i="1"/>
  <c r="AI69" i="1"/>
  <c r="CW69" i="1" s="1"/>
  <c r="AJ69" i="1"/>
  <c r="CT69" i="1"/>
  <c r="S69" i="1" s="1"/>
  <c r="K196" i="5" s="1"/>
  <c r="CV69" i="1"/>
  <c r="CX69" i="1"/>
  <c r="FR69" i="1"/>
  <c r="GL69" i="1"/>
  <c r="GO69" i="1"/>
  <c r="GP69" i="1"/>
  <c r="GV69" i="1"/>
  <c r="I70" i="1"/>
  <c r="E203" i="5" s="1"/>
  <c r="AC70" i="1"/>
  <c r="AD70" i="1"/>
  <c r="CR70" i="1" s="1"/>
  <c r="Q70" i="1" s="1"/>
  <c r="AE70" i="1"/>
  <c r="AF70" i="1"/>
  <c r="AG70" i="1"/>
  <c r="CU70" i="1" s="1"/>
  <c r="T70" i="1" s="1"/>
  <c r="AH70" i="1"/>
  <c r="CV70" i="1" s="1"/>
  <c r="U70" i="1" s="1"/>
  <c r="AI70" i="1"/>
  <c r="AJ70" i="1"/>
  <c r="CX70" i="1" s="1"/>
  <c r="CQ70" i="1"/>
  <c r="CS70" i="1"/>
  <c r="R70" i="1" s="1"/>
  <c r="GK70" i="1" s="1"/>
  <c r="CW70" i="1"/>
  <c r="FR70" i="1"/>
  <c r="GL70" i="1"/>
  <c r="GO70" i="1"/>
  <c r="GP70" i="1"/>
  <c r="GV70" i="1"/>
  <c r="GX70" i="1" s="1"/>
  <c r="B72" i="1"/>
  <c r="B26" i="1" s="1"/>
  <c r="C72" i="1"/>
  <c r="C26" i="1" s="1"/>
  <c r="D72" i="1"/>
  <c r="D26" i="1" s="1"/>
  <c r="F72" i="1"/>
  <c r="F26" i="1" s="1"/>
  <c r="G72" i="1"/>
  <c r="AO72" i="1"/>
  <c r="BC72" i="1"/>
  <c r="BC26" i="1" s="1"/>
  <c r="BX72" i="1"/>
  <c r="BX26" i="1" s="1"/>
  <c r="CK72" i="1"/>
  <c r="CL72" i="1"/>
  <c r="CL26" i="1" s="1"/>
  <c r="F88" i="1"/>
  <c r="D101" i="1"/>
  <c r="E103" i="1"/>
  <c r="Z103" i="1"/>
  <c r="AA103" i="1"/>
  <c r="AM103" i="1"/>
  <c r="AN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FA103" i="1"/>
  <c r="FB103" i="1"/>
  <c r="FC103" i="1"/>
  <c r="FD103" i="1"/>
  <c r="FE103" i="1"/>
  <c r="FF103" i="1"/>
  <c r="FG103" i="1"/>
  <c r="FH103" i="1"/>
  <c r="FI103" i="1"/>
  <c r="FJ103" i="1"/>
  <c r="FK103" i="1"/>
  <c r="FL103" i="1"/>
  <c r="FM103" i="1"/>
  <c r="FN103" i="1"/>
  <c r="FO103" i="1"/>
  <c r="FP103" i="1"/>
  <c r="FQ103" i="1"/>
  <c r="FR103" i="1"/>
  <c r="FS103" i="1"/>
  <c r="FT103" i="1"/>
  <c r="FU103" i="1"/>
  <c r="FV103" i="1"/>
  <c r="FW103" i="1"/>
  <c r="FX103" i="1"/>
  <c r="FY103" i="1"/>
  <c r="FZ103" i="1"/>
  <c r="GA103" i="1"/>
  <c r="GB103" i="1"/>
  <c r="GC103" i="1"/>
  <c r="GD103" i="1"/>
  <c r="GE103" i="1"/>
  <c r="GF103" i="1"/>
  <c r="GG103" i="1"/>
  <c r="GH103" i="1"/>
  <c r="GI103" i="1"/>
  <c r="GJ103" i="1"/>
  <c r="GK103" i="1"/>
  <c r="GL103" i="1"/>
  <c r="GM103" i="1"/>
  <c r="GN103" i="1"/>
  <c r="GO103" i="1"/>
  <c r="GP103" i="1"/>
  <c r="GQ103" i="1"/>
  <c r="GR103" i="1"/>
  <c r="GS103" i="1"/>
  <c r="GT103" i="1"/>
  <c r="GU103" i="1"/>
  <c r="GV103" i="1"/>
  <c r="GW103" i="1"/>
  <c r="GX103" i="1"/>
  <c r="C105" i="1"/>
  <c r="D105" i="1"/>
  <c r="I105" i="1"/>
  <c r="AC105" i="1"/>
  <c r="AE105" i="1"/>
  <c r="AF105" i="1"/>
  <c r="AG105" i="1"/>
  <c r="CU105" i="1" s="1"/>
  <c r="T105" i="1" s="1"/>
  <c r="AH105" i="1"/>
  <c r="CV105" i="1" s="1"/>
  <c r="U105" i="1" s="1"/>
  <c r="AI105" i="1"/>
  <c r="AJ105" i="1"/>
  <c r="CX105" i="1" s="1"/>
  <c r="W105" i="1" s="1"/>
  <c r="CW105" i="1"/>
  <c r="V105" i="1" s="1"/>
  <c r="FR105" i="1"/>
  <c r="GL105" i="1"/>
  <c r="GO105" i="1"/>
  <c r="GP105" i="1"/>
  <c r="GV105" i="1"/>
  <c r="GX105" i="1" s="1"/>
  <c r="C106" i="1"/>
  <c r="D106" i="1"/>
  <c r="AC106" i="1"/>
  <c r="CQ106" i="1" s="1"/>
  <c r="P106" i="1" s="1"/>
  <c r="AE106" i="1"/>
  <c r="H219" i="5" s="1"/>
  <c r="R219" i="5" s="1"/>
  <c r="AF106" i="1"/>
  <c r="AG106" i="1"/>
  <c r="AH106" i="1"/>
  <c r="AI106" i="1"/>
  <c r="CW106" i="1" s="1"/>
  <c r="V106" i="1" s="1"/>
  <c r="AJ106" i="1"/>
  <c r="CX106" i="1" s="1"/>
  <c r="W106" i="1" s="1"/>
  <c r="CU106" i="1"/>
  <c r="T106" i="1" s="1"/>
  <c r="CV106" i="1"/>
  <c r="U106" i="1" s="1"/>
  <c r="FR106" i="1"/>
  <c r="GL106" i="1"/>
  <c r="GN106" i="1"/>
  <c r="GP106" i="1"/>
  <c r="GV106" i="1"/>
  <c r="GX106" i="1" s="1"/>
  <c r="C107" i="1"/>
  <c r="D107" i="1"/>
  <c r="I107" i="1"/>
  <c r="AC107" i="1"/>
  <c r="CQ107" i="1" s="1"/>
  <c r="P107" i="1" s="1"/>
  <c r="AE107" i="1"/>
  <c r="AD107" i="1" s="1"/>
  <c r="AF107" i="1"/>
  <c r="AG107" i="1"/>
  <c r="CU107" i="1" s="1"/>
  <c r="T107" i="1" s="1"/>
  <c r="AH107" i="1"/>
  <c r="CV107" i="1" s="1"/>
  <c r="U107" i="1" s="1"/>
  <c r="AI107" i="1"/>
  <c r="AJ107" i="1"/>
  <c r="CX107" i="1" s="1"/>
  <c r="W107" i="1" s="1"/>
  <c r="CS107" i="1"/>
  <c r="R107" i="1" s="1"/>
  <c r="GK107" i="1" s="1"/>
  <c r="CW107" i="1"/>
  <c r="V107" i="1" s="1"/>
  <c r="FR107" i="1"/>
  <c r="GL107" i="1"/>
  <c r="GO107" i="1"/>
  <c r="GP107" i="1"/>
  <c r="GV107" i="1"/>
  <c r="GX107" i="1" s="1"/>
  <c r="C108" i="1"/>
  <c r="D108" i="1"/>
  <c r="I108" i="1"/>
  <c r="GX108" i="1" s="1"/>
  <c r="AC108" i="1"/>
  <c r="AE108" i="1"/>
  <c r="AF108" i="1"/>
  <c r="AG108" i="1"/>
  <c r="CU108" i="1" s="1"/>
  <c r="T108" i="1" s="1"/>
  <c r="AH108" i="1"/>
  <c r="AI108" i="1"/>
  <c r="CW108" i="1" s="1"/>
  <c r="V108" i="1" s="1"/>
  <c r="AJ108" i="1"/>
  <c r="CS108" i="1"/>
  <c r="R108" i="1" s="1"/>
  <c r="CV108" i="1"/>
  <c r="CX108" i="1"/>
  <c r="W108" i="1" s="1"/>
  <c r="FR108" i="1"/>
  <c r="GL108" i="1"/>
  <c r="GN108" i="1"/>
  <c r="GP108" i="1"/>
  <c r="GV108" i="1"/>
  <c r="AB109" i="1"/>
  <c r="AC109" i="1"/>
  <c r="AE109" i="1"/>
  <c r="AD109" i="1" s="1"/>
  <c r="CR109" i="1" s="1"/>
  <c r="AF109" i="1"/>
  <c r="AG109" i="1"/>
  <c r="CU109" i="1" s="1"/>
  <c r="AH109" i="1"/>
  <c r="AI109" i="1"/>
  <c r="AJ109" i="1"/>
  <c r="CX109" i="1" s="1"/>
  <c r="CQ109" i="1"/>
  <c r="CV109" i="1"/>
  <c r="CW109" i="1"/>
  <c r="FR109" i="1"/>
  <c r="GL109" i="1"/>
  <c r="GN109" i="1"/>
  <c r="GP109" i="1"/>
  <c r="GV109" i="1"/>
  <c r="C110" i="1"/>
  <c r="D110" i="1"/>
  <c r="I110" i="1"/>
  <c r="AC110" i="1"/>
  <c r="AE110" i="1"/>
  <c r="AD110" i="1" s="1"/>
  <c r="CR110" i="1" s="1"/>
  <c r="Q110" i="1" s="1"/>
  <c r="AF110" i="1"/>
  <c r="AG110" i="1"/>
  <c r="CU110" i="1" s="1"/>
  <c r="AH110" i="1"/>
  <c r="AI110" i="1"/>
  <c r="CW110" i="1" s="1"/>
  <c r="V110" i="1" s="1"/>
  <c r="AJ110" i="1"/>
  <c r="CT110" i="1"/>
  <c r="S110" i="1" s="1"/>
  <c r="K244" i="5" s="1"/>
  <c r="CV110" i="1"/>
  <c r="CX110" i="1"/>
  <c r="W110" i="1" s="1"/>
  <c r="FR110" i="1"/>
  <c r="GL110" i="1"/>
  <c r="GN110" i="1"/>
  <c r="GP110" i="1"/>
  <c r="GV110" i="1"/>
  <c r="GX110" i="1"/>
  <c r="AC111" i="1"/>
  <c r="CQ111" i="1" s="1"/>
  <c r="AE111" i="1"/>
  <c r="AD111" i="1" s="1"/>
  <c r="CR111" i="1" s="1"/>
  <c r="AF111" i="1"/>
  <c r="AG111" i="1"/>
  <c r="CU111" i="1" s="1"/>
  <c r="AH111" i="1"/>
  <c r="CV111" i="1" s="1"/>
  <c r="AI111" i="1"/>
  <c r="AJ111" i="1"/>
  <c r="CX111" i="1" s="1"/>
  <c r="CS111" i="1"/>
  <c r="CW111" i="1"/>
  <c r="FR111" i="1"/>
  <c r="GL111" i="1"/>
  <c r="GN111" i="1"/>
  <c r="GP111" i="1"/>
  <c r="GV111" i="1"/>
  <c r="C112" i="1"/>
  <c r="D112" i="1"/>
  <c r="I112" i="1"/>
  <c r="I113" i="1" s="1"/>
  <c r="E260" i="5" s="1"/>
  <c r="AC112" i="1"/>
  <c r="AE112" i="1"/>
  <c r="AF112" i="1"/>
  <c r="AG112" i="1"/>
  <c r="CU112" i="1" s="1"/>
  <c r="AH112" i="1"/>
  <c r="AI112" i="1"/>
  <c r="CW112" i="1" s="1"/>
  <c r="V112" i="1" s="1"/>
  <c r="AJ112" i="1"/>
  <c r="CT112" i="1"/>
  <c r="S112" i="1" s="1"/>
  <c r="K253" i="5" s="1"/>
  <c r="CV112" i="1"/>
  <c r="U112" i="1" s="1"/>
  <c r="CX112" i="1"/>
  <c r="W112" i="1" s="1"/>
  <c r="FR112" i="1"/>
  <c r="GL112" i="1"/>
  <c r="GN112" i="1"/>
  <c r="GP112" i="1"/>
  <c r="GV112" i="1"/>
  <c r="GX112" i="1" s="1"/>
  <c r="AC113" i="1"/>
  <c r="CQ113" i="1" s="1"/>
  <c r="P113" i="1" s="1"/>
  <c r="AE113" i="1"/>
  <c r="AD113" i="1" s="1"/>
  <c r="CR113" i="1" s="1"/>
  <c r="AF113" i="1"/>
  <c r="AG113" i="1"/>
  <c r="CU113" i="1" s="1"/>
  <c r="T113" i="1" s="1"/>
  <c r="AH113" i="1"/>
  <c r="CV113" i="1" s="1"/>
  <c r="U113" i="1" s="1"/>
  <c r="AI113" i="1"/>
  <c r="CW113" i="1" s="1"/>
  <c r="AJ113" i="1"/>
  <c r="CX113" i="1" s="1"/>
  <c r="CS113" i="1"/>
  <c r="R113" i="1" s="1"/>
  <c r="GK113" i="1" s="1"/>
  <c r="FR113" i="1"/>
  <c r="GL113" i="1"/>
  <c r="GN113" i="1"/>
  <c r="GP113" i="1"/>
  <c r="GV113" i="1"/>
  <c r="C114" i="1"/>
  <c r="D114" i="1"/>
  <c r="I114" i="1"/>
  <c r="I115" i="1" s="1"/>
  <c r="E271" i="5" s="1"/>
  <c r="AC114" i="1"/>
  <c r="AE114" i="1"/>
  <c r="AF114" i="1"/>
  <c r="AG114" i="1"/>
  <c r="CU114" i="1" s="1"/>
  <c r="AH114" i="1"/>
  <c r="AI114" i="1"/>
  <c r="CW114" i="1" s="1"/>
  <c r="V114" i="1" s="1"/>
  <c r="AJ114" i="1"/>
  <c r="CS114" i="1"/>
  <c r="R114" i="1" s="1"/>
  <c r="CV114" i="1"/>
  <c r="CX114" i="1"/>
  <c r="W114" i="1" s="1"/>
  <c r="FR114" i="1"/>
  <c r="GL114" i="1"/>
  <c r="GN114" i="1"/>
  <c r="GP114" i="1"/>
  <c r="GV114" i="1"/>
  <c r="GX114" i="1"/>
  <c r="AC115" i="1"/>
  <c r="AE115" i="1"/>
  <c r="AD115" i="1" s="1"/>
  <c r="AB115" i="1" s="1"/>
  <c r="AF115" i="1"/>
  <c r="AG115" i="1"/>
  <c r="CU115" i="1" s="1"/>
  <c r="AH115" i="1"/>
  <c r="AI115" i="1"/>
  <c r="CW115" i="1" s="1"/>
  <c r="AJ115" i="1"/>
  <c r="CX115" i="1" s="1"/>
  <c r="CQ115" i="1"/>
  <c r="CS115" i="1"/>
  <c r="CV115" i="1"/>
  <c r="FR115" i="1"/>
  <c r="GL115" i="1"/>
  <c r="GN115" i="1"/>
  <c r="GP115" i="1"/>
  <c r="GV115" i="1"/>
  <c r="C116" i="1"/>
  <c r="D116" i="1"/>
  <c r="I116" i="1"/>
  <c r="AC116" i="1"/>
  <c r="AE116" i="1"/>
  <c r="AF116" i="1"/>
  <c r="AG116" i="1"/>
  <c r="CU116" i="1" s="1"/>
  <c r="AH116" i="1"/>
  <c r="AI116" i="1"/>
  <c r="CW116" i="1" s="1"/>
  <c r="AJ116" i="1"/>
  <c r="CX116" i="1" s="1"/>
  <c r="W116" i="1" s="1"/>
  <c r="CS116" i="1"/>
  <c r="R116" i="1" s="1"/>
  <c r="CV116" i="1"/>
  <c r="U116" i="1" s="1"/>
  <c r="FR116" i="1"/>
  <c r="GL116" i="1"/>
  <c r="GN116" i="1"/>
  <c r="GP116" i="1"/>
  <c r="GV116" i="1"/>
  <c r="AC117" i="1"/>
  <c r="AE117" i="1"/>
  <c r="AD117" i="1" s="1"/>
  <c r="AF117" i="1"/>
  <c r="AG117" i="1"/>
  <c r="CU117" i="1" s="1"/>
  <c r="AH117" i="1"/>
  <c r="AI117" i="1"/>
  <c r="CW117" i="1" s="1"/>
  <c r="AJ117" i="1"/>
  <c r="CX117" i="1" s="1"/>
  <c r="CQ117" i="1"/>
  <c r="CS117" i="1"/>
  <c r="CV117" i="1"/>
  <c r="FR117" i="1"/>
  <c r="GL117" i="1"/>
  <c r="GN117" i="1"/>
  <c r="GP117" i="1"/>
  <c r="GV117" i="1"/>
  <c r="C118" i="1"/>
  <c r="D118" i="1"/>
  <c r="I118" i="1"/>
  <c r="AC118" i="1"/>
  <c r="AE118" i="1"/>
  <c r="AF118" i="1"/>
  <c r="AG118" i="1"/>
  <c r="CU118" i="1" s="1"/>
  <c r="AH118" i="1"/>
  <c r="AI118" i="1"/>
  <c r="CW118" i="1" s="1"/>
  <c r="V118" i="1" s="1"/>
  <c r="AJ118" i="1"/>
  <c r="CS118" i="1"/>
  <c r="R118" i="1" s="1"/>
  <c r="CV118" i="1"/>
  <c r="U118" i="1" s="1"/>
  <c r="CX118" i="1"/>
  <c r="W118" i="1" s="1"/>
  <c r="FR118" i="1"/>
  <c r="GL118" i="1"/>
  <c r="GN118" i="1"/>
  <c r="GP118" i="1"/>
  <c r="GV118" i="1"/>
  <c r="GX118" i="1" s="1"/>
  <c r="AC119" i="1"/>
  <c r="AE119" i="1"/>
  <c r="AD119" i="1" s="1"/>
  <c r="CR119" i="1" s="1"/>
  <c r="AF119" i="1"/>
  <c r="AG119" i="1"/>
  <c r="AH119" i="1"/>
  <c r="AI119" i="1"/>
  <c r="CW119" i="1" s="1"/>
  <c r="AJ119" i="1"/>
  <c r="CX119" i="1" s="1"/>
  <c r="CS119" i="1"/>
  <c r="CU119" i="1"/>
  <c r="CV119" i="1"/>
  <c r="FR119" i="1"/>
  <c r="GL119" i="1"/>
  <c r="GN119" i="1"/>
  <c r="GP119" i="1"/>
  <c r="GV119" i="1"/>
  <c r="C120" i="1"/>
  <c r="D120" i="1"/>
  <c r="I120" i="1"/>
  <c r="AC120" i="1"/>
  <c r="AE120" i="1"/>
  <c r="AF120" i="1"/>
  <c r="AG120" i="1"/>
  <c r="CU120" i="1" s="1"/>
  <c r="T120" i="1" s="1"/>
  <c r="AH120" i="1"/>
  <c r="AI120" i="1"/>
  <c r="CW120" i="1" s="1"/>
  <c r="AJ120" i="1"/>
  <c r="CX120" i="1" s="1"/>
  <c r="CQ120" i="1"/>
  <c r="CV120" i="1"/>
  <c r="FR120" i="1"/>
  <c r="GL120" i="1"/>
  <c r="GN120" i="1"/>
  <c r="GP120" i="1"/>
  <c r="GV120" i="1"/>
  <c r="AC121" i="1"/>
  <c r="AE121" i="1"/>
  <c r="CS121" i="1" s="1"/>
  <c r="AF121" i="1"/>
  <c r="AG121" i="1"/>
  <c r="CU121" i="1" s="1"/>
  <c r="AH121" i="1"/>
  <c r="CV121" i="1" s="1"/>
  <c r="AI121" i="1"/>
  <c r="CW121" i="1" s="1"/>
  <c r="AJ121" i="1"/>
  <c r="CX121" i="1"/>
  <c r="FR121" i="1"/>
  <c r="GL121" i="1"/>
  <c r="GN121" i="1"/>
  <c r="GP121" i="1"/>
  <c r="GV121" i="1"/>
  <c r="C122" i="1"/>
  <c r="D122" i="1"/>
  <c r="AC122" i="1"/>
  <c r="AE122" i="1"/>
  <c r="AF122" i="1"/>
  <c r="AG122" i="1"/>
  <c r="CU122" i="1" s="1"/>
  <c r="T122" i="1" s="1"/>
  <c r="AH122" i="1"/>
  <c r="AI122" i="1"/>
  <c r="AJ122" i="1"/>
  <c r="CX122" i="1" s="1"/>
  <c r="W122" i="1" s="1"/>
  <c r="CS122" i="1"/>
  <c r="R122" i="1" s="1"/>
  <c r="CV122" i="1"/>
  <c r="U122" i="1" s="1"/>
  <c r="CW122" i="1"/>
  <c r="V122" i="1" s="1"/>
  <c r="FR122" i="1"/>
  <c r="GL122" i="1"/>
  <c r="GN122" i="1"/>
  <c r="GP122" i="1"/>
  <c r="GV122" i="1"/>
  <c r="GX122" i="1" s="1"/>
  <c r="I123" i="1"/>
  <c r="E314" i="5" s="1"/>
  <c r="AC123" i="1"/>
  <c r="AE123" i="1"/>
  <c r="AF123" i="1"/>
  <c r="AG123" i="1"/>
  <c r="CU123" i="1" s="1"/>
  <c r="T123" i="1" s="1"/>
  <c r="AH123" i="1"/>
  <c r="AI123" i="1"/>
  <c r="CW123" i="1" s="1"/>
  <c r="AJ123" i="1"/>
  <c r="CX123" i="1" s="1"/>
  <c r="CQ123" i="1"/>
  <c r="P123" i="1" s="1"/>
  <c r="CV123" i="1"/>
  <c r="FR123" i="1"/>
  <c r="GL123" i="1"/>
  <c r="GN123" i="1"/>
  <c r="GP123" i="1"/>
  <c r="GV123" i="1"/>
  <c r="C124" i="1"/>
  <c r="D124" i="1"/>
  <c r="AC124" i="1"/>
  <c r="H319" i="5" s="1"/>
  <c r="AE124" i="1"/>
  <c r="CS124" i="1" s="1"/>
  <c r="R124" i="1" s="1"/>
  <c r="GK124" i="1" s="1"/>
  <c r="AF124" i="1"/>
  <c r="AG124" i="1"/>
  <c r="CU124" i="1" s="1"/>
  <c r="T124" i="1" s="1"/>
  <c r="AH124" i="1"/>
  <c r="CV124" i="1" s="1"/>
  <c r="U124" i="1" s="1"/>
  <c r="AI124" i="1"/>
  <c r="AJ124" i="1"/>
  <c r="CT124" i="1"/>
  <c r="S124" i="1" s="1"/>
  <c r="K317" i="5" s="1"/>
  <c r="CW124" i="1"/>
  <c r="V124" i="1" s="1"/>
  <c r="CX124" i="1"/>
  <c r="W124" i="1" s="1"/>
  <c r="FR124" i="1"/>
  <c r="GL124" i="1"/>
  <c r="GN124" i="1"/>
  <c r="GP124" i="1"/>
  <c r="GV124" i="1"/>
  <c r="GX124" i="1" s="1"/>
  <c r="I125" i="1"/>
  <c r="AC125" i="1"/>
  <c r="AE125" i="1"/>
  <c r="AD125" i="1" s="1"/>
  <c r="CR125" i="1" s="1"/>
  <c r="AF125" i="1"/>
  <c r="AG125" i="1"/>
  <c r="CU125" i="1" s="1"/>
  <c r="AH125" i="1"/>
  <c r="AI125" i="1"/>
  <c r="CW125" i="1" s="1"/>
  <c r="V125" i="1" s="1"/>
  <c r="AJ125" i="1"/>
  <c r="CX125" i="1" s="1"/>
  <c r="CS125" i="1"/>
  <c r="CV125" i="1"/>
  <c r="FR125" i="1"/>
  <c r="GL125" i="1"/>
  <c r="GN125" i="1"/>
  <c r="GP125" i="1"/>
  <c r="GV125" i="1"/>
  <c r="C126" i="1"/>
  <c r="D126" i="1"/>
  <c r="AC126" i="1"/>
  <c r="AD126" i="1"/>
  <c r="CR126" i="1" s="1"/>
  <c r="Q126" i="1" s="1"/>
  <c r="AE126" i="1"/>
  <c r="CS126" i="1" s="1"/>
  <c r="R126" i="1" s="1"/>
  <c r="GK126" i="1" s="1"/>
  <c r="AF126" i="1"/>
  <c r="AG126" i="1"/>
  <c r="CU126" i="1" s="1"/>
  <c r="T126" i="1" s="1"/>
  <c r="AH126" i="1"/>
  <c r="CV126" i="1" s="1"/>
  <c r="U126" i="1" s="1"/>
  <c r="AI126" i="1"/>
  <c r="CW126" i="1" s="1"/>
  <c r="V126" i="1" s="1"/>
  <c r="AJ126" i="1"/>
  <c r="CQ126" i="1"/>
  <c r="P126" i="1" s="1"/>
  <c r="CT126" i="1"/>
  <c r="S126" i="1" s="1"/>
  <c r="CY126" i="1" s="1"/>
  <c r="X126" i="1" s="1"/>
  <c r="T325" i="5" s="1"/>
  <c r="CX126" i="1"/>
  <c r="W126" i="1" s="1"/>
  <c r="FR126" i="1"/>
  <c r="GL126" i="1"/>
  <c r="GN126" i="1"/>
  <c r="GP126" i="1"/>
  <c r="GV126" i="1"/>
  <c r="GX126" i="1" s="1"/>
  <c r="I127" i="1"/>
  <c r="E331" i="5" s="1"/>
  <c r="AC127" i="1"/>
  <c r="AD127" i="1"/>
  <c r="CR127" i="1" s="1"/>
  <c r="Q127" i="1" s="1"/>
  <c r="AE127" i="1"/>
  <c r="AF127" i="1"/>
  <c r="AG127" i="1"/>
  <c r="CU127" i="1" s="1"/>
  <c r="T127" i="1" s="1"/>
  <c r="AH127" i="1"/>
  <c r="CV127" i="1" s="1"/>
  <c r="U127" i="1" s="1"/>
  <c r="AI127" i="1"/>
  <c r="AJ127" i="1"/>
  <c r="CS127" i="1"/>
  <c r="R127" i="1" s="1"/>
  <c r="GK127" i="1" s="1"/>
  <c r="CT127" i="1"/>
  <c r="S127" i="1" s="1"/>
  <c r="CW127" i="1"/>
  <c r="V127" i="1" s="1"/>
  <c r="CX127" i="1"/>
  <c r="W127" i="1" s="1"/>
  <c r="FR127" i="1"/>
  <c r="GL127" i="1"/>
  <c r="GN127" i="1"/>
  <c r="GP127" i="1"/>
  <c r="GV127" i="1"/>
  <c r="GX127" i="1"/>
  <c r="C128" i="1"/>
  <c r="D128" i="1"/>
  <c r="AC128" i="1"/>
  <c r="H337" i="5" s="1"/>
  <c r="AE128" i="1"/>
  <c r="H336" i="5" s="1"/>
  <c r="R336" i="5" s="1"/>
  <c r="AF128" i="1"/>
  <c r="AG128" i="1"/>
  <c r="CU128" i="1" s="1"/>
  <c r="T128" i="1" s="1"/>
  <c r="AH128" i="1"/>
  <c r="AI128" i="1"/>
  <c r="CW128" i="1" s="1"/>
  <c r="V128" i="1" s="1"/>
  <c r="AJ128" i="1"/>
  <c r="CX128" i="1" s="1"/>
  <c r="W128" i="1" s="1"/>
  <c r="CQ128" i="1"/>
  <c r="P128" i="1" s="1"/>
  <c r="K337" i="5" s="1"/>
  <c r="CV128" i="1"/>
  <c r="U128" i="1" s="1"/>
  <c r="FR128" i="1"/>
  <c r="GL128" i="1"/>
  <c r="GN128" i="1"/>
  <c r="GP128" i="1"/>
  <c r="GV128" i="1"/>
  <c r="GX128" i="1" s="1"/>
  <c r="I129" i="1"/>
  <c r="E341" i="5" s="1"/>
  <c r="AC129" i="1"/>
  <c r="CQ129" i="1" s="1"/>
  <c r="P129" i="1" s="1"/>
  <c r="AE129" i="1"/>
  <c r="CS129" i="1" s="1"/>
  <c r="R129" i="1" s="1"/>
  <c r="GK129" i="1" s="1"/>
  <c r="AF129" i="1"/>
  <c r="AG129" i="1"/>
  <c r="CU129" i="1" s="1"/>
  <c r="T129" i="1" s="1"/>
  <c r="AH129" i="1"/>
  <c r="CV129" i="1" s="1"/>
  <c r="AI129" i="1"/>
  <c r="CW129" i="1" s="1"/>
  <c r="V129" i="1" s="1"/>
  <c r="AJ129" i="1"/>
  <c r="CX129" i="1"/>
  <c r="FR129" i="1"/>
  <c r="GL129" i="1"/>
  <c r="GN129" i="1"/>
  <c r="GP129" i="1"/>
  <c r="GV129" i="1"/>
  <c r="GX129" i="1" s="1"/>
  <c r="B131" i="1"/>
  <c r="B103" i="1" s="1"/>
  <c r="C131" i="1"/>
  <c r="C103" i="1" s="1"/>
  <c r="D131" i="1"/>
  <c r="D103" i="1" s="1"/>
  <c r="F131" i="1"/>
  <c r="F103" i="1" s="1"/>
  <c r="G131" i="1"/>
  <c r="BC131" i="1"/>
  <c r="BX131" i="1"/>
  <c r="BX103" i="1" s="1"/>
  <c r="CK131" i="1"/>
  <c r="CK103" i="1" s="1"/>
  <c r="CL131" i="1"/>
  <c r="CL103" i="1" s="1"/>
  <c r="D160" i="1"/>
  <c r="E162" i="1"/>
  <c r="Z162" i="1"/>
  <c r="AA162" i="1"/>
  <c r="AM162" i="1"/>
  <c r="AN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CM162" i="1"/>
  <c r="CN162" i="1"/>
  <c r="CO162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FA162" i="1"/>
  <c r="FB162" i="1"/>
  <c r="FC162" i="1"/>
  <c r="FD162" i="1"/>
  <c r="FE162" i="1"/>
  <c r="FF162" i="1"/>
  <c r="FG162" i="1"/>
  <c r="FH162" i="1"/>
  <c r="FI162" i="1"/>
  <c r="FJ162" i="1"/>
  <c r="FK162" i="1"/>
  <c r="FL162" i="1"/>
  <c r="FM162" i="1"/>
  <c r="FN162" i="1"/>
  <c r="FO162" i="1"/>
  <c r="FP162" i="1"/>
  <c r="FQ162" i="1"/>
  <c r="FR162" i="1"/>
  <c r="FS162" i="1"/>
  <c r="FT162" i="1"/>
  <c r="FU162" i="1"/>
  <c r="FV162" i="1"/>
  <c r="FW162" i="1"/>
  <c r="FX162" i="1"/>
  <c r="FY162" i="1"/>
  <c r="FZ162" i="1"/>
  <c r="GA162" i="1"/>
  <c r="GB162" i="1"/>
  <c r="GC162" i="1"/>
  <c r="GD162" i="1"/>
  <c r="GE162" i="1"/>
  <c r="GF162" i="1"/>
  <c r="GG162" i="1"/>
  <c r="GH162" i="1"/>
  <c r="GI162" i="1"/>
  <c r="GJ162" i="1"/>
  <c r="GK162" i="1"/>
  <c r="GL162" i="1"/>
  <c r="GM162" i="1"/>
  <c r="GN162" i="1"/>
  <c r="GO162" i="1"/>
  <c r="GP162" i="1"/>
  <c r="GQ162" i="1"/>
  <c r="GR162" i="1"/>
  <c r="GS162" i="1"/>
  <c r="GT162" i="1"/>
  <c r="GU162" i="1"/>
  <c r="GV162" i="1"/>
  <c r="GW162" i="1"/>
  <c r="GX162" i="1"/>
  <c r="C164" i="1"/>
  <c r="D164" i="1"/>
  <c r="AC164" i="1"/>
  <c r="AD164" i="1"/>
  <c r="CR164" i="1" s="1"/>
  <c r="Q164" i="1" s="1"/>
  <c r="AD168" i="1" s="1"/>
  <c r="AE164" i="1"/>
  <c r="CS164" i="1" s="1"/>
  <c r="R164" i="1" s="1"/>
  <c r="AF164" i="1"/>
  <c r="CT164" i="1" s="1"/>
  <c r="S164" i="1" s="1"/>
  <c r="K346" i="5" s="1"/>
  <c r="AG164" i="1"/>
  <c r="CU164" i="1" s="1"/>
  <c r="T164" i="1" s="1"/>
  <c r="AH164" i="1"/>
  <c r="CV164" i="1" s="1"/>
  <c r="U164" i="1" s="1"/>
  <c r="AI164" i="1"/>
  <c r="CW164" i="1" s="1"/>
  <c r="V164" i="1" s="1"/>
  <c r="AJ164" i="1"/>
  <c r="CX164" i="1"/>
  <c r="W164" i="1" s="1"/>
  <c r="AJ168" i="1" s="1"/>
  <c r="FR164" i="1"/>
  <c r="GL164" i="1"/>
  <c r="GO164" i="1"/>
  <c r="GP164" i="1"/>
  <c r="CD168" i="1" s="1"/>
  <c r="CD162" i="1" s="1"/>
  <c r="GV164" i="1"/>
  <c r="GX164" i="1" s="1"/>
  <c r="O165" i="1"/>
  <c r="P165" i="1"/>
  <c r="Q165" i="1"/>
  <c r="R165" i="1"/>
  <c r="S165" i="1"/>
  <c r="T165" i="1"/>
  <c r="U165" i="1"/>
  <c r="L353" i="5" s="1"/>
  <c r="Q353" i="5" s="1"/>
  <c r="V165" i="1"/>
  <c r="W165" i="1"/>
  <c r="X165" i="1"/>
  <c r="T352" i="5" s="1"/>
  <c r="Y165" i="1"/>
  <c r="V352" i="5" s="1"/>
  <c r="AB165" i="1"/>
  <c r="H352" i="5" s="1"/>
  <c r="AC165" i="1"/>
  <c r="AD165" i="1"/>
  <c r="AE165" i="1"/>
  <c r="AF165" i="1"/>
  <c r="AG165" i="1"/>
  <c r="AH165" i="1"/>
  <c r="AI165" i="1"/>
  <c r="AJ165" i="1"/>
  <c r="CP165" i="1"/>
  <c r="GN165" i="1" s="1"/>
  <c r="FR165" i="1"/>
  <c r="BY168" i="1" s="1"/>
  <c r="GK165" i="1"/>
  <c r="GL165" i="1"/>
  <c r="GO165" i="1"/>
  <c r="GP165" i="1"/>
  <c r="GV165" i="1"/>
  <c r="GX165" i="1" s="1"/>
  <c r="O166" i="1"/>
  <c r="P166" i="1"/>
  <c r="Q166" i="1"/>
  <c r="R166" i="1"/>
  <c r="GK166" i="1" s="1"/>
  <c r="S166" i="1"/>
  <c r="T166" i="1"/>
  <c r="U166" i="1"/>
  <c r="L355" i="5" s="1"/>
  <c r="Q355" i="5" s="1"/>
  <c r="V166" i="1"/>
  <c r="W166" i="1"/>
  <c r="X166" i="1"/>
  <c r="T354" i="5" s="1"/>
  <c r="Y166" i="1"/>
  <c r="V354" i="5" s="1"/>
  <c r="AB166" i="1"/>
  <c r="AC166" i="1"/>
  <c r="AD166" i="1"/>
  <c r="AE166" i="1"/>
  <c r="AF166" i="1"/>
  <c r="AG166" i="1"/>
  <c r="AH166" i="1"/>
  <c r="AI166" i="1"/>
  <c r="AJ166" i="1"/>
  <c r="FR166" i="1"/>
  <c r="GL166" i="1"/>
  <c r="GO166" i="1"/>
  <c r="GP166" i="1"/>
  <c r="GV166" i="1"/>
  <c r="GX166" i="1" s="1"/>
  <c r="B168" i="1"/>
  <c r="B162" i="1" s="1"/>
  <c r="C168" i="1"/>
  <c r="C162" i="1" s="1"/>
  <c r="D168" i="1"/>
  <c r="D162" i="1" s="1"/>
  <c r="F168" i="1"/>
  <c r="F162" i="1" s="1"/>
  <c r="G168" i="1"/>
  <c r="BX168" i="1"/>
  <c r="BX162" i="1" s="1"/>
  <c r="BZ168" i="1"/>
  <c r="BZ162" i="1" s="1"/>
  <c r="CK168" i="1"/>
  <c r="BB168" i="1" s="1"/>
  <c r="CL168" i="1"/>
  <c r="CL162" i="1" s="1"/>
  <c r="B197" i="1"/>
  <c r="B22" i="1" s="1"/>
  <c r="C197" i="1"/>
  <c r="C22" i="1" s="1"/>
  <c r="D197" i="1"/>
  <c r="D22" i="1" s="1"/>
  <c r="F197" i="1"/>
  <c r="F22" i="1" s="1"/>
  <c r="G197" i="1"/>
  <c r="B229" i="1"/>
  <c r="B18" i="1" s="1"/>
  <c r="C229" i="1"/>
  <c r="C18" i="1" s="1"/>
  <c r="D229" i="1"/>
  <c r="D18" i="1" s="1"/>
  <c r="F229" i="1"/>
  <c r="F18" i="1" s="1"/>
  <c r="G229" i="1"/>
  <c r="G18" i="1" s="1"/>
  <c r="GX115" i="1" l="1"/>
  <c r="GK122" i="1"/>
  <c r="K309" i="5"/>
  <c r="BY162" i="1"/>
  <c r="AP168" i="1"/>
  <c r="GK118" i="1"/>
  <c r="K288" i="5"/>
  <c r="AB117" i="1"/>
  <c r="CR117" i="1"/>
  <c r="GK116" i="1"/>
  <c r="K277" i="5"/>
  <c r="U115" i="1"/>
  <c r="V115" i="1"/>
  <c r="L230" i="5"/>
  <c r="Q230" i="5" s="1"/>
  <c r="L229" i="5"/>
  <c r="L215" i="5"/>
  <c r="Q215" i="5" s="1"/>
  <c r="L214" i="5"/>
  <c r="BB162" i="1"/>
  <c r="F181" i="1"/>
  <c r="P111" i="1"/>
  <c r="GK53" i="1"/>
  <c r="K140" i="5"/>
  <c r="CP166" i="1"/>
  <c r="GN166" i="1" s="1"/>
  <c r="H354" i="5"/>
  <c r="CK162" i="1"/>
  <c r="P120" i="1"/>
  <c r="K300" i="5" s="1"/>
  <c r="L261" i="5"/>
  <c r="Q261" i="5" s="1"/>
  <c r="L259" i="5"/>
  <c r="L223" i="5"/>
  <c r="Q223" i="5" s="1"/>
  <c r="L222" i="5"/>
  <c r="CT68" i="1"/>
  <c r="S68" i="1" s="1"/>
  <c r="S192" i="5"/>
  <c r="U192" i="5"/>
  <c r="S63" i="1"/>
  <c r="K175" i="5" s="1"/>
  <c r="CT56" i="1"/>
  <c r="U147" i="5"/>
  <c r="S147" i="5"/>
  <c r="H145" i="5"/>
  <c r="W145" i="5" s="1"/>
  <c r="CT53" i="1"/>
  <c r="S53" i="1" s="1"/>
  <c r="U136" i="5"/>
  <c r="S136" i="5"/>
  <c r="H138" i="5"/>
  <c r="R138" i="5" s="1"/>
  <c r="S134" i="5"/>
  <c r="U134" i="5"/>
  <c r="CT47" i="1"/>
  <c r="S47" i="1" s="1"/>
  <c r="U114" i="5"/>
  <c r="S114" i="5"/>
  <c r="CQ41" i="1"/>
  <c r="CC168" i="1"/>
  <c r="CC162" i="1" s="1"/>
  <c r="AG168" i="1"/>
  <c r="AB164" i="1"/>
  <c r="H347" i="5"/>
  <c r="W129" i="1"/>
  <c r="U341" i="5"/>
  <c r="S341" i="5"/>
  <c r="H331" i="5"/>
  <c r="X331" i="5" s="1"/>
  <c r="CP126" i="1"/>
  <c r="O126" i="1" s="1"/>
  <c r="GO126" i="1" s="1"/>
  <c r="K327" i="5"/>
  <c r="AB126" i="1"/>
  <c r="H327" i="5"/>
  <c r="CT125" i="1"/>
  <c r="S125" i="1" s="1"/>
  <c r="U323" i="5"/>
  <c r="S323" i="5"/>
  <c r="L324" i="5"/>
  <c r="Q324" i="5" s="1"/>
  <c r="L322" i="5"/>
  <c r="AD124" i="1"/>
  <c r="GX123" i="1"/>
  <c r="W123" i="1"/>
  <c r="CT123" i="1"/>
  <c r="S123" i="1" s="1"/>
  <c r="CY123" i="1" s="1"/>
  <c r="X123" i="1" s="1"/>
  <c r="T314" i="5" s="1"/>
  <c r="S314" i="5"/>
  <c r="U314" i="5"/>
  <c r="U304" i="5"/>
  <c r="GX120" i="1"/>
  <c r="W120" i="1"/>
  <c r="CT120" i="1"/>
  <c r="S120" i="1" s="1"/>
  <c r="K297" i="5" s="1"/>
  <c r="H297" i="5"/>
  <c r="R297" i="5" s="1"/>
  <c r="U295" i="5"/>
  <c r="S295" i="5"/>
  <c r="S284" i="5"/>
  <c r="H286" i="5"/>
  <c r="R286" i="5" s="1"/>
  <c r="U284" i="5"/>
  <c r="E284" i="5"/>
  <c r="C285" i="5"/>
  <c r="T116" i="1"/>
  <c r="CT115" i="1"/>
  <c r="U271" i="5"/>
  <c r="S271" i="5"/>
  <c r="S262" i="5"/>
  <c r="H268" i="5" s="1"/>
  <c r="U262" i="5"/>
  <c r="H269" i="5" s="1"/>
  <c r="H264" i="5"/>
  <c r="R264" i="5" s="1"/>
  <c r="GX113" i="1"/>
  <c r="H256" i="5"/>
  <c r="H245" i="5"/>
  <c r="CT109" i="1"/>
  <c r="U240" i="5"/>
  <c r="I109" i="1"/>
  <c r="H233" i="5"/>
  <c r="R233" i="5" s="1"/>
  <c r="U231" i="5"/>
  <c r="S231" i="5"/>
  <c r="AD105" i="1"/>
  <c r="H211" i="5"/>
  <c r="R211" i="5" s="1"/>
  <c r="P70" i="1"/>
  <c r="H203" i="5"/>
  <c r="W203" i="5" s="1"/>
  <c r="GX69" i="1"/>
  <c r="H196" i="5"/>
  <c r="R196" i="5" s="1"/>
  <c r="U194" i="5"/>
  <c r="S194" i="5"/>
  <c r="CS66" i="1"/>
  <c r="R66" i="1" s="1"/>
  <c r="GK66" i="1" s="1"/>
  <c r="U66" i="1"/>
  <c r="CC72" i="1"/>
  <c r="V65" i="1"/>
  <c r="R65" i="1"/>
  <c r="GK65" i="1" s="1"/>
  <c r="CS64" i="1"/>
  <c r="R64" i="1" s="1"/>
  <c r="GK64" i="1" s="1"/>
  <c r="U64" i="1"/>
  <c r="GX63" i="1"/>
  <c r="H175" i="5"/>
  <c r="R175" i="5" s="1"/>
  <c r="U173" i="5"/>
  <c r="S173" i="5"/>
  <c r="CT60" i="1"/>
  <c r="S161" i="5"/>
  <c r="H163" i="5"/>
  <c r="R163" i="5" s="1"/>
  <c r="U161" i="5"/>
  <c r="U159" i="5"/>
  <c r="BY72" i="1"/>
  <c r="P58" i="1"/>
  <c r="H158" i="5"/>
  <c r="W158" i="5" s="1"/>
  <c r="L160" i="5"/>
  <c r="Q160" i="5" s="1"/>
  <c r="L157" i="5"/>
  <c r="CT54" i="1"/>
  <c r="U145" i="5"/>
  <c r="AD52" i="1"/>
  <c r="CR52" i="1" s="1"/>
  <c r="Q52" i="1" s="1"/>
  <c r="CS52" i="1"/>
  <c r="R52" i="1" s="1"/>
  <c r="GK52" i="1" s="1"/>
  <c r="BZ72" i="1"/>
  <c r="AQ72" i="1" s="1"/>
  <c r="T51" i="1"/>
  <c r="U51" i="1"/>
  <c r="CT44" i="1"/>
  <c r="GX40" i="1"/>
  <c r="R40" i="1"/>
  <c r="GK40" i="1" s="1"/>
  <c r="T40" i="1"/>
  <c r="H100" i="5"/>
  <c r="W100" i="5" s="1"/>
  <c r="E91" i="5"/>
  <c r="C92" i="5"/>
  <c r="CX33" i="3"/>
  <c r="I42" i="1"/>
  <c r="I44" i="1"/>
  <c r="S104" i="5" s="1"/>
  <c r="I41" i="1"/>
  <c r="E101" i="5" s="1"/>
  <c r="I43" i="1"/>
  <c r="E103" i="5" s="1"/>
  <c r="V35" i="1"/>
  <c r="L77" i="5"/>
  <c r="Q77" i="5" s="1"/>
  <c r="L76" i="5"/>
  <c r="C69" i="5"/>
  <c r="E68" i="5"/>
  <c r="CX17" i="3"/>
  <c r="R31" i="1"/>
  <c r="U31" i="1"/>
  <c r="CR31" i="1"/>
  <c r="Q31" i="1" s="1"/>
  <c r="K59" i="5" s="1"/>
  <c r="H59" i="5"/>
  <c r="L342" i="5"/>
  <c r="Q342" i="5" s="1"/>
  <c r="L340" i="5"/>
  <c r="GX125" i="1"/>
  <c r="E323" i="5"/>
  <c r="L315" i="5"/>
  <c r="Q315" i="5" s="1"/>
  <c r="L313" i="5"/>
  <c r="C296" i="5"/>
  <c r="E295" i="5"/>
  <c r="CT119" i="1"/>
  <c r="CQ116" i="1"/>
  <c r="P116" i="1" s="1"/>
  <c r="H278" i="5"/>
  <c r="GK114" i="1"/>
  <c r="K266" i="5"/>
  <c r="H260" i="5"/>
  <c r="X260" i="5" s="1"/>
  <c r="AD112" i="1"/>
  <c r="H255" i="5"/>
  <c r="R255" i="5" s="1"/>
  <c r="C243" i="5"/>
  <c r="E242" i="5"/>
  <c r="P109" i="1"/>
  <c r="S216" i="5"/>
  <c r="H220" i="5" s="1"/>
  <c r="H217" i="5"/>
  <c r="U216" i="5"/>
  <c r="H221" i="5" s="1"/>
  <c r="S207" i="5"/>
  <c r="H212" i="5" s="1"/>
  <c r="H209" i="5"/>
  <c r="U207" i="5"/>
  <c r="H213" i="5" s="1"/>
  <c r="E194" i="5"/>
  <c r="C195" i="5"/>
  <c r="I67" i="1"/>
  <c r="T67" i="1" s="1"/>
  <c r="E185" i="5"/>
  <c r="C186" i="5"/>
  <c r="U183" i="5"/>
  <c r="S183" i="5"/>
  <c r="E173" i="5"/>
  <c r="C174" i="5"/>
  <c r="H146" i="5"/>
  <c r="W146" i="5" s="1"/>
  <c r="L148" i="5"/>
  <c r="Q148" i="5" s="1"/>
  <c r="L144" i="5"/>
  <c r="L135" i="5"/>
  <c r="Q135" i="5" s="1"/>
  <c r="L132" i="5"/>
  <c r="GX37" i="1"/>
  <c r="E88" i="5"/>
  <c r="C79" i="5"/>
  <c r="E78" i="5"/>
  <c r="CT33" i="1"/>
  <c r="S66" i="5"/>
  <c r="L45" i="5"/>
  <c r="Q45" i="5" s="1"/>
  <c r="L44" i="5"/>
  <c r="U325" i="5"/>
  <c r="H326" i="5"/>
  <c r="R326" i="5" s="1"/>
  <c r="S325" i="5"/>
  <c r="U123" i="1"/>
  <c r="V123" i="1"/>
  <c r="CT122" i="1"/>
  <c r="S122" i="1" s="1"/>
  <c r="K307" i="5" s="1"/>
  <c r="S306" i="5"/>
  <c r="H311" i="5" s="1"/>
  <c r="H307" i="5"/>
  <c r="R307" i="5" s="1"/>
  <c r="U306" i="5"/>
  <c r="H312" i="5" s="1"/>
  <c r="U120" i="1"/>
  <c r="V120" i="1"/>
  <c r="H299" i="5"/>
  <c r="R299" i="5" s="1"/>
  <c r="L294" i="5"/>
  <c r="Q294" i="5" s="1"/>
  <c r="L292" i="5"/>
  <c r="AD118" i="1"/>
  <c r="H288" i="5"/>
  <c r="R288" i="5" s="1"/>
  <c r="H282" i="5"/>
  <c r="X282" i="5" s="1"/>
  <c r="U273" i="5"/>
  <c r="H275" i="5"/>
  <c r="R275" i="5" s="1"/>
  <c r="S273" i="5"/>
  <c r="E273" i="5"/>
  <c r="C274" i="5"/>
  <c r="R115" i="1"/>
  <c r="GK115" i="1" s="1"/>
  <c r="AD114" i="1"/>
  <c r="AB114" i="1" s="1"/>
  <c r="H266" i="5"/>
  <c r="R266" i="5" s="1"/>
  <c r="C263" i="5"/>
  <c r="E262" i="5"/>
  <c r="W113" i="1"/>
  <c r="S260" i="5"/>
  <c r="U260" i="5"/>
  <c r="CS112" i="1"/>
  <c r="R112" i="1" s="1"/>
  <c r="T112" i="1"/>
  <c r="CS110" i="1"/>
  <c r="R110" i="1" s="1"/>
  <c r="GK110" i="1" s="1"/>
  <c r="T110" i="1"/>
  <c r="U108" i="1"/>
  <c r="AD108" i="1"/>
  <c r="H235" i="5"/>
  <c r="R235" i="5" s="1"/>
  <c r="CT107" i="1"/>
  <c r="S107" i="1" s="1"/>
  <c r="K226" i="5" s="1"/>
  <c r="H226" i="5"/>
  <c r="U224" i="5"/>
  <c r="H228" i="5" s="1"/>
  <c r="S224" i="5"/>
  <c r="H227" i="5" s="1"/>
  <c r="CT106" i="1"/>
  <c r="S106" i="1" s="1"/>
  <c r="K217" i="5" s="1"/>
  <c r="CT105" i="1"/>
  <c r="S105" i="1" s="1"/>
  <c r="K209" i="5" s="1"/>
  <c r="G26" i="1"/>
  <c r="A205" i="5"/>
  <c r="V70" i="1"/>
  <c r="W70" i="1"/>
  <c r="CT70" i="1"/>
  <c r="S70" i="1" s="1"/>
  <c r="S203" i="5"/>
  <c r="U203" i="5"/>
  <c r="W69" i="1"/>
  <c r="V69" i="1"/>
  <c r="CS69" i="1"/>
  <c r="R69" i="1" s="1"/>
  <c r="H198" i="5"/>
  <c r="R198" i="5" s="1"/>
  <c r="V67" i="1"/>
  <c r="R67" i="1"/>
  <c r="GK67" i="1" s="1"/>
  <c r="U65" i="1"/>
  <c r="H182" i="5"/>
  <c r="W182" i="5" s="1"/>
  <c r="W63" i="1"/>
  <c r="V63" i="1"/>
  <c r="H177" i="5"/>
  <c r="R177" i="5" s="1"/>
  <c r="CQ61" i="1"/>
  <c r="C162" i="5"/>
  <c r="E161" i="5"/>
  <c r="CT58" i="1"/>
  <c r="S58" i="1" s="1"/>
  <c r="U158" i="5"/>
  <c r="S158" i="5"/>
  <c r="U146" i="5"/>
  <c r="S146" i="5"/>
  <c r="CP53" i="1"/>
  <c r="O53" i="1" s="1"/>
  <c r="K141" i="5"/>
  <c r="CT52" i="1"/>
  <c r="S52" i="1" s="1"/>
  <c r="H134" i="5"/>
  <c r="W134" i="5" s="1"/>
  <c r="S133" i="5"/>
  <c r="U133" i="5"/>
  <c r="E105" i="5"/>
  <c r="GX45" i="1"/>
  <c r="V45" i="1"/>
  <c r="W43" i="1"/>
  <c r="T42" i="1"/>
  <c r="V37" i="1"/>
  <c r="AD37" i="1"/>
  <c r="CS37" i="1"/>
  <c r="R37" i="1" s="1"/>
  <c r="GK37" i="1" s="1"/>
  <c r="R35" i="1"/>
  <c r="U35" i="1"/>
  <c r="CR35" i="1"/>
  <c r="Q35" i="1" s="1"/>
  <c r="K81" i="5" s="1"/>
  <c r="H81" i="5"/>
  <c r="AD29" i="1"/>
  <c r="H41" i="5"/>
  <c r="R41" i="5" s="1"/>
  <c r="CS29" i="1"/>
  <c r="R29" i="1" s="1"/>
  <c r="G162" i="1"/>
  <c r="A356" i="5"/>
  <c r="AH168" i="1"/>
  <c r="U168" i="1" s="1"/>
  <c r="L351" i="5"/>
  <c r="Q351" i="5" s="1"/>
  <c r="L356" i="5" s="1"/>
  <c r="L350" i="5"/>
  <c r="CZ126" i="1"/>
  <c r="Y126" i="1" s="1"/>
  <c r="V325" i="5" s="1"/>
  <c r="K326" i="5"/>
  <c r="L330" i="5"/>
  <c r="L332" i="5"/>
  <c r="Q332" i="5" s="1"/>
  <c r="CQ122" i="1"/>
  <c r="P122" i="1" s="1"/>
  <c r="H310" i="5"/>
  <c r="CQ121" i="1"/>
  <c r="L283" i="5"/>
  <c r="Q283" i="5" s="1"/>
  <c r="L281" i="5"/>
  <c r="C252" i="5"/>
  <c r="E251" i="5"/>
  <c r="U110" i="1"/>
  <c r="V109" i="1"/>
  <c r="GK108" i="1"/>
  <c r="K235" i="5"/>
  <c r="C232" i="5"/>
  <c r="E231" i="5"/>
  <c r="T69" i="1"/>
  <c r="S67" i="1"/>
  <c r="T63" i="1"/>
  <c r="CT62" i="1"/>
  <c r="CS57" i="1"/>
  <c r="R57" i="1" s="1"/>
  <c r="H153" i="5"/>
  <c r="R153" i="5" s="1"/>
  <c r="U345" i="5"/>
  <c r="H349" i="5" s="1"/>
  <c r="S345" i="5"/>
  <c r="H348" i="5" s="1"/>
  <c r="H346" i="5"/>
  <c r="U331" i="5"/>
  <c r="S331" i="5"/>
  <c r="G22" i="1"/>
  <c r="A357" i="5"/>
  <c r="AO168" i="1"/>
  <c r="G353" i="5"/>
  <c r="O353" i="5" s="1"/>
  <c r="W353" i="5"/>
  <c r="AI168" i="1"/>
  <c r="G103" i="1"/>
  <c r="A343" i="5"/>
  <c r="CT129" i="1"/>
  <c r="S129" i="1" s="1"/>
  <c r="CZ129" i="1" s="1"/>
  <c r="Y129" i="1" s="1"/>
  <c r="V341" i="5" s="1"/>
  <c r="U129" i="1"/>
  <c r="AD129" i="1"/>
  <c r="CR129" i="1" s="1"/>
  <c r="Q129" i="1" s="1"/>
  <c r="CP129" i="1" s="1"/>
  <c r="O129" i="1" s="1"/>
  <c r="K341" i="5" s="1"/>
  <c r="CT128" i="1"/>
  <c r="S128" i="1" s="1"/>
  <c r="K334" i="5" s="1"/>
  <c r="U333" i="5"/>
  <c r="H339" i="5" s="1"/>
  <c r="H334" i="5"/>
  <c r="R334" i="5" s="1"/>
  <c r="S333" i="5"/>
  <c r="H338" i="5" s="1"/>
  <c r="U125" i="1"/>
  <c r="CQ125" i="1"/>
  <c r="P125" i="1" s="1"/>
  <c r="H323" i="5"/>
  <c r="X323" i="5" s="1"/>
  <c r="H317" i="5"/>
  <c r="R317" i="5" s="1"/>
  <c r="S316" i="5"/>
  <c r="H320" i="5" s="1"/>
  <c r="U316" i="5"/>
  <c r="H321" i="5" s="1"/>
  <c r="AD122" i="1"/>
  <c r="AB122" i="1" s="1"/>
  <c r="H309" i="5"/>
  <c r="R309" i="5" s="1"/>
  <c r="CT121" i="1"/>
  <c r="AD121" i="1"/>
  <c r="CR121" i="1" s="1"/>
  <c r="H300" i="5"/>
  <c r="CQ119" i="1"/>
  <c r="AB119" i="1"/>
  <c r="CT118" i="1"/>
  <c r="S118" i="1" s="1"/>
  <c r="K286" i="5" s="1"/>
  <c r="CQ118" i="1"/>
  <c r="P118" i="1" s="1"/>
  <c r="H289" i="5"/>
  <c r="CT117" i="1"/>
  <c r="U282" i="5"/>
  <c r="GX116" i="1"/>
  <c r="V116" i="1"/>
  <c r="AD116" i="1"/>
  <c r="AB116" i="1" s="1"/>
  <c r="H277" i="5"/>
  <c r="R277" i="5" s="1"/>
  <c r="CR115" i="1"/>
  <c r="Q115" i="1" s="1"/>
  <c r="H271" i="5"/>
  <c r="X271" i="5" s="1"/>
  <c r="CT114" i="1"/>
  <c r="S114" i="1" s="1"/>
  <c r="K264" i="5" s="1"/>
  <c r="H267" i="5"/>
  <c r="V113" i="1"/>
  <c r="Q113" i="1"/>
  <c r="H253" i="5"/>
  <c r="R253" i="5" s="1"/>
  <c r="U251" i="5"/>
  <c r="H258" i="5" s="1"/>
  <c r="S251" i="5"/>
  <c r="H257" i="5" s="1"/>
  <c r="Q111" i="1"/>
  <c r="I111" i="1"/>
  <c r="E249" i="5" s="1"/>
  <c r="S242" i="5"/>
  <c r="H244" i="5"/>
  <c r="U242" i="5"/>
  <c r="CS109" i="1"/>
  <c r="R109" i="1" s="1"/>
  <c r="GK109" i="1" s="1"/>
  <c r="H240" i="5"/>
  <c r="X240" i="5" s="1"/>
  <c r="CT108" i="1"/>
  <c r="S108" i="1" s="1"/>
  <c r="K233" i="5" s="1"/>
  <c r="H236" i="5"/>
  <c r="CX119" i="3"/>
  <c r="C225" i="5"/>
  <c r="E224" i="5"/>
  <c r="CS105" i="1"/>
  <c r="R105" i="1" s="1"/>
  <c r="K211" i="5" s="1"/>
  <c r="E207" i="5"/>
  <c r="C208" i="5"/>
  <c r="U69" i="1"/>
  <c r="H199" i="5"/>
  <c r="H192" i="5"/>
  <c r="W192" i="5" s="1"/>
  <c r="U67" i="1"/>
  <c r="W66" i="1"/>
  <c r="CT66" i="1"/>
  <c r="S66" i="1" s="1"/>
  <c r="K187" i="5" s="1"/>
  <c r="H187" i="5"/>
  <c r="R187" i="5" s="1"/>
  <c r="U185" i="5"/>
  <c r="S185" i="5"/>
  <c r="GX65" i="1"/>
  <c r="CT65" i="1"/>
  <c r="S65" i="1" s="1"/>
  <c r="CY65" i="1" s="1"/>
  <c r="X65" i="1" s="1"/>
  <c r="T183" i="5" s="1"/>
  <c r="T65" i="1"/>
  <c r="W64" i="1"/>
  <c r="CT64" i="1"/>
  <c r="S64" i="1" s="1"/>
  <c r="CY64" i="1" s="1"/>
  <c r="X64" i="1" s="1"/>
  <c r="T182" i="5" s="1"/>
  <c r="U182" i="5"/>
  <c r="S182" i="5"/>
  <c r="U63" i="1"/>
  <c r="CQ63" i="1"/>
  <c r="P63" i="1" s="1"/>
  <c r="K178" i="5" s="1"/>
  <c r="H178" i="5"/>
  <c r="CT61" i="1"/>
  <c r="CS60" i="1"/>
  <c r="R60" i="1" s="1"/>
  <c r="AD60" i="1"/>
  <c r="AB60" i="1" s="1"/>
  <c r="CQ59" i="1"/>
  <c r="U149" i="5"/>
  <c r="S149" i="5"/>
  <c r="H151" i="5"/>
  <c r="R151" i="5" s="1"/>
  <c r="I59" i="1"/>
  <c r="GX59" i="1" s="1"/>
  <c r="C150" i="5"/>
  <c r="E149" i="5"/>
  <c r="P56" i="1"/>
  <c r="H147" i="5"/>
  <c r="W147" i="5" s="1"/>
  <c r="CS54" i="1"/>
  <c r="E136" i="5"/>
  <c r="C137" i="5"/>
  <c r="V51" i="1"/>
  <c r="CS48" i="1"/>
  <c r="R48" i="1" s="1"/>
  <c r="GK48" i="1" s="1"/>
  <c r="AD48" i="1"/>
  <c r="CT45" i="1"/>
  <c r="S105" i="5"/>
  <c r="U105" i="5"/>
  <c r="S43" i="1"/>
  <c r="CZ43" i="1" s="1"/>
  <c r="Y43" i="1" s="1"/>
  <c r="V103" i="5" s="1"/>
  <c r="T43" i="1"/>
  <c r="H103" i="5"/>
  <c r="W103" i="5" s="1"/>
  <c r="W42" i="1"/>
  <c r="CT42" i="1"/>
  <c r="S42" i="1" s="1"/>
  <c r="CZ42" i="1" s="1"/>
  <c r="Y42" i="1" s="1"/>
  <c r="V102" i="5" s="1"/>
  <c r="S102" i="5"/>
  <c r="U102" i="5"/>
  <c r="V40" i="1"/>
  <c r="H95" i="5"/>
  <c r="R95" i="5" s="1"/>
  <c r="AD39" i="1"/>
  <c r="CS39" i="1"/>
  <c r="R39" i="1" s="1"/>
  <c r="T37" i="1"/>
  <c r="GX35" i="1"/>
  <c r="P35" i="1"/>
  <c r="K83" i="5" s="1"/>
  <c r="GX31" i="1"/>
  <c r="E56" i="5"/>
  <c r="C57" i="5"/>
  <c r="I33" i="1"/>
  <c r="AD28" i="1"/>
  <c r="CS28" i="1"/>
  <c r="R28" i="1" s="1"/>
  <c r="GK28" i="1" s="1"/>
  <c r="H133" i="5"/>
  <c r="W133" i="5" s="1"/>
  <c r="AD50" i="1"/>
  <c r="H127" i="5" s="1"/>
  <c r="H128" i="5"/>
  <c r="R128" i="5" s="1"/>
  <c r="W49" i="1"/>
  <c r="CT49" i="1"/>
  <c r="S49" i="1" s="1"/>
  <c r="CY49" i="1" s="1"/>
  <c r="X49" i="1" s="1"/>
  <c r="T123" i="5" s="1"/>
  <c r="S123" i="5"/>
  <c r="U123" i="5"/>
  <c r="CS47" i="1"/>
  <c r="R47" i="1" s="1"/>
  <c r="GK47" i="1" s="1"/>
  <c r="H114" i="5"/>
  <c r="W114" i="5" s="1"/>
  <c r="C108" i="5"/>
  <c r="E107" i="5"/>
  <c r="CQ45" i="1"/>
  <c r="H105" i="5"/>
  <c r="W105" i="5" s="1"/>
  <c r="GX43" i="1"/>
  <c r="V43" i="1"/>
  <c r="R43" i="1"/>
  <c r="GK43" i="1" s="1"/>
  <c r="AD42" i="1"/>
  <c r="GX41" i="1"/>
  <c r="W41" i="1"/>
  <c r="CT41" i="1"/>
  <c r="S41" i="1" s="1"/>
  <c r="CZ41" i="1" s="1"/>
  <c r="Y41" i="1" s="1"/>
  <c r="V101" i="5" s="1"/>
  <c r="S101" i="5"/>
  <c r="U101" i="5"/>
  <c r="T39" i="1"/>
  <c r="H96" i="5"/>
  <c r="H88" i="5"/>
  <c r="W88" i="5" s="1"/>
  <c r="W35" i="1"/>
  <c r="CT35" i="1"/>
  <c r="S35" i="1" s="1"/>
  <c r="K80" i="5" s="1"/>
  <c r="U78" i="5"/>
  <c r="S78" i="5"/>
  <c r="H80" i="5"/>
  <c r="R80" i="5" s="1"/>
  <c r="T34" i="1"/>
  <c r="CS33" i="1"/>
  <c r="R33" i="1" s="1"/>
  <c r="GK33" i="1" s="1"/>
  <c r="U33" i="1"/>
  <c r="CT31" i="1"/>
  <c r="S31" i="1" s="1"/>
  <c r="K58" i="5" s="1"/>
  <c r="H58" i="5"/>
  <c r="R58" i="5" s="1"/>
  <c r="S56" i="5"/>
  <c r="U56" i="5"/>
  <c r="C47" i="5"/>
  <c r="E46" i="5"/>
  <c r="T29" i="1"/>
  <c r="T28" i="1"/>
  <c r="U116" i="5"/>
  <c r="H121" i="5" s="1"/>
  <c r="S116" i="5"/>
  <c r="H120" i="5" s="1"/>
  <c r="H117" i="5"/>
  <c r="R117" i="5" s="1"/>
  <c r="L115" i="5"/>
  <c r="Q115" i="5" s="1"/>
  <c r="L113" i="5"/>
  <c r="U45" i="1"/>
  <c r="CQ44" i="1"/>
  <c r="U43" i="1"/>
  <c r="Q43" i="1"/>
  <c r="GX42" i="1"/>
  <c r="H102" i="5"/>
  <c r="W102" i="5" s="1"/>
  <c r="V41" i="1"/>
  <c r="U40" i="1"/>
  <c r="Q40" i="1"/>
  <c r="H93" i="5"/>
  <c r="R93" i="5" s="1"/>
  <c r="S91" i="5"/>
  <c r="U91" i="5"/>
  <c r="CT37" i="1"/>
  <c r="U88" i="5"/>
  <c r="S88" i="5"/>
  <c r="T35" i="1"/>
  <c r="H82" i="5"/>
  <c r="R82" i="5" s="1"/>
  <c r="GX34" i="1"/>
  <c r="S68" i="5"/>
  <c r="H74" i="5" s="1"/>
  <c r="H70" i="5"/>
  <c r="U68" i="5"/>
  <c r="H75" i="5" s="1"/>
  <c r="P33" i="1"/>
  <c r="H66" i="5"/>
  <c r="W66" i="5" s="1"/>
  <c r="T31" i="1"/>
  <c r="H60" i="5"/>
  <c r="R60" i="5" s="1"/>
  <c r="S46" i="5"/>
  <c r="H52" i="5" s="1"/>
  <c r="H48" i="5"/>
  <c r="U46" i="5"/>
  <c r="H53" i="5" s="1"/>
  <c r="CT29" i="1"/>
  <c r="S29" i="1" s="1"/>
  <c r="K39" i="5" s="1"/>
  <c r="U37" i="5"/>
  <c r="H43" i="5" s="1"/>
  <c r="H39" i="5"/>
  <c r="S37" i="5"/>
  <c r="H42" i="5" s="1"/>
  <c r="CX2" i="3"/>
  <c r="E37" i="5"/>
  <c r="C38" i="5"/>
  <c r="CT28" i="1"/>
  <c r="S28" i="1" s="1"/>
  <c r="K32" i="5" s="1"/>
  <c r="U30" i="5"/>
  <c r="H34" i="5" s="1"/>
  <c r="H32" i="5"/>
  <c r="S30" i="5"/>
  <c r="H33" i="5" s="1"/>
  <c r="E30" i="5"/>
  <c r="C31" i="5"/>
  <c r="CX1" i="3"/>
  <c r="CT50" i="1"/>
  <c r="S50" i="1" s="1"/>
  <c r="K126" i="5" s="1"/>
  <c r="H126" i="5"/>
  <c r="R126" i="5" s="1"/>
  <c r="U125" i="5"/>
  <c r="H131" i="5" s="1"/>
  <c r="S125" i="5"/>
  <c r="H130" i="5" s="1"/>
  <c r="P49" i="1"/>
  <c r="H123" i="5"/>
  <c r="W123" i="5" s="1"/>
  <c r="CT48" i="1"/>
  <c r="S48" i="1" s="1"/>
  <c r="L124" i="5"/>
  <c r="Q124" i="5" s="1"/>
  <c r="L122" i="5"/>
  <c r="H109" i="5"/>
  <c r="R109" i="5" s="1"/>
  <c r="S107" i="5"/>
  <c r="H111" i="5" s="1"/>
  <c r="U107" i="5"/>
  <c r="S103" i="5"/>
  <c r="U103" i="5"/>
  <c r="V42" i="1"/>
  <c r="R42" i="1"/>
  <c r="GK42" i="1" s="1"/>
  <c r="CS41" i="1"/>
  <c r="R41" i="1" s="1"/>
  <c r="GK41" i="1" s="1"/>
  <c r="S100" i="5"/>
  <c r="U100" i="5"/>
  <c r="GX39" i="1"/>
  <c r="S39" i="1"/>
  <c r="U39" i="1"/>
  <c r="H83" i="5"/>
  <c r="H73" i="5"/>
  <c r="H61" i="5"/>
  <c r="L36" i="5"/>
  <c r="Q36" i="5" s="1"/>
  <c r="L35" i="5"/>
  <c r="AT168" i="1"/>
  <c r="CZ164" i="1"/>
  <c r="Y164" i="1" s="1"/>
  <c r="CY164" i="1"/>
  <c r="X164" i="1" s="1"/>
  <c r="AF168" i="1"/>
  <c r="AG162" i="1"/>
  <c r="T168" i="1"/>
  <c r="GM126" i="1"/>
  <c r="CZ124" i="1"/>
  <c r="Y124" i="1" s="1"/>
  <c r="V316" i="5" s="1"/>
  <c r="CY124" i="1"/>
  <c r="X124" i="1" s="1"/>
  <c r="T316" i="5" s="1"/>
  <c r="CJ168" i="1"/>
  <c r="AI162" i="1"/>
  <c r="V168" i="1"/>
  <c r="GK164" i="1"/>
  <c r="AE168" i="1"/>
  <c r="GM166" i="1"/>
  <c r="K354" i="5" s="1"/>
  <c r="J355" i="5" s="1"/>
  <c r="P355" i="5" s="1"/>
  <c r="AJ162" i="1"/>
  <c r="W168" i="1"/>
  <c r="AH162" i="1"/>
  <c r="Q168" i="1"/>
  <c r="AD162" i="1"/>
  <c r="CZ127" i="1"/>
  <c r="Y127" i="1" s="1"/>
  <c r="V331" i="5" s="1"/>
  <c r="CY127" i="1"/>
  <c r="X127" i="1" s="1"/>
  <c r="T331" i="5" s="1"/>
  <c r="K328" i="5" s="1"/>
  <c r="GM165" i="1"/>
  <c r="K352" i="5" s="1"/>
  <c r="J353" i="5" s="1"/>
  <c r="P353" i="5" s="1"/>
  <c r="CT111" i="1"/>
  <c r="S111" i="1" s="1"/>
  <c r="AB111" i="1"/>
  <c r="AO26" i="1"/>
  <c r="F76" i="1"/>
  <c r="CI168" i="1"/>
  <c r="BC168" i="1"/>
  <c r="AU168" i="1"/>
  <c r="AQ168" i="1"/>
  <c r="CQ164" i="1"/>
  <c r="P164" i="1" s="1"/>
  <c r="K347" i="5" s="1"/>
  <c r="Q125" i="1"/>
  <c r="R125" i="1"/>
  <c r="GK125" i="1" s="1"/>
  <c r="AD123" i="1"/>
  <c r="H314" i="5" s="1"/>
  <c r="X314" i="5" s="1"/>
  <c r="CS123" i="1"/>
  <c r="R123" i="1" s="1"/>
  <c r="GK123" i="1" s="1"/>
  <c r="AD120" i="1"/>
  <c r="H298" i="5" s="1"/>
  <c r="CS120" i="1"/>
  <c r="R120" i="1" s="1"/>
  <c r="K299" i="5" s="1"/>
  <c r="CQ114" i="1"/>
  <c r="P114" i="1" s="1"/>
  <c r="GK105" i="1"/>
  <c r="CZ65" i="1"/>
  <c r="Y65" i="1" s="1"/>
  <c r="V183" i="5" s="1"/>
  <c r="BY26" i="1"/>
  <c r="AP72" i="1"/>
  <c r="CI72" i="1"/>
  <c r="CG168" i="1"/>
  <c r="BC103" i="1"/>
  <c r="F147" i="1"/>
  <c r="CY129" i="1"/>
  <c r="X129" i="1" s="1"/>
  <c r="T341" i="5" s="1"/>
  <c r="AB127" i="1"/>
  <c r="CQ127" i="1"/>
  <c r="P127" i="1" s="1"/>
  <c r="CP127" i="1" s="1"/>
  <c r="O127" i="1" s="1"/>
  <c r="K331" i="5" s="1"/>
  <c r="T125" i="1"/>
  <c r="AB125" i="1"/>
  <c r="AB124" i="1"/>
  <c r="CQ124" i="1"/>
  <c r="P124" i="1" s="1"/>
  <c r="CD131" i="1"/>
  <c r="CT116" i="1"/>
  <c r="S116" i="1" s="1"/>
  <c r="K275" i="5" s="1"/>
  <c r="CZ114" i="1"/>
  <c r="Y114" i="1" s="1"/>
  <c r="V262" i="5" s="1"/>
  <c r="CY114" i="1"/>
  <c r="X114" i="1" s="1"/>
  <c r="T262" i="5" s="1"/>
  <c r="BY131" i="1"/>
  <c r="CZ112" i="1"/>
  <c r="Y112" i="1" s="1"/>
  <c r="V251" i="5" s="1"/>
  <c r="CY112" i="1"/>
  <c r="X112" i="1" s="1"/>
  <c r="T251" i="5" s="1"/>
  <c r="AD128" i="1"/>
  <c r="H335" i="5" s="1"/>
  <c r="X342" i="5" s="1"/>
  <c r="CS128" i="1"/>
  <c r="R128" i="1" s="1"/>
  <c r="K336" i="5" s="1"/>
  <c r="W125" i="1"/>
  <c r="CY122" i="1"/>
  <c r="X122" i="1" s="1"/>
  <c r="CY120" i="1"/>
  <c r="X120" i="1" s="1"/>
  <c r="T295" i="5" s="1"/>
  <c r="BZ131" i="1"/>
  <c r="CY118" i="1"/>
  <c r="X118" i="1" s="1"/>
  <c r="T284" i="5" s="1"/>
  <c r="CZ118" i="1"/>
  <c r="Y118" i="1" s="1"/>
  <c r="V284" i="5" s="1"/>
  <c r="U117" i="1"/>
  <c r="CT113" i="1"/>
  <c r="S113" i="1" s="1"/>
  <c r="CP113" i="1" s="1"/>
  <c r="O113" i="1" s="1"/>
  <c r="K260" i="5" s="1"/>
  <c r="AB113" i="1"/>
  <c r="CZ108" i="1"/>
  <c r="Y108" i="1" s="1"/>
  <c r="V231" i="5" s="1"/>
  <c r="CY108" i="1"/>
  <c r="X108" i="1" s="1"/>
  <c r="T231" i="5" s="1"/>
  <c r="AB108" i="1"/>
  <c r="CQ108" i="1"/>
  <c r="P108" i="1" s="1"/>
  <c r="CR107" i="1"/>
  <c r="Q107" i="1" s="1"/>
  <c r="AB107" i="1"/>
  <c r="CZ105" i="1"/>
  <c r="Y105" i="1" s="1"/>
  <c r="V207" i="5" s="1"/>
  <c r="K213" i="5" s="1"/>
  <c r="CY105" i="1"/>
  <c r="X105" i="1" s="1"/>
  <c r="T207" i="5" s="1"/>
  <c r="K212" i="5" s="1"/>
  <c r="AB105" i="1"/>
  <c r="CQ105" i="1"/>
  <c r="P105" i="1" s="1"/>
  <c r="CX170" i="3"/>
  <c r="CX174" i="3"/>
  <c r="CX171" i="3"/>
  <c r="CX175" i="3"/>
  <c r="CX168" i="3"/>
  <c r="CX172" i="3"/>
  <c r="CX176" i="3"/>
  <c r="CX173" i="3"/>
  <c r="CX177" i="3"/>
  <c r="CX169" i="3"/>
  <c r="CX158" i="3"/>
  <c r="CX162" i="3"/>
  <c r="CX166" i="3"/>
  <c r="CX159" i="3"/>
  <c r="CX163" i="3"/>
  <c r="CX167" i="3"/>
  <c r="CX160" i="3"/>
  <c r="CX164" i="3"/>
  <c r="CX161" i="3"/>
  <c r="CX165" i="3"/>
  <c r="CX142" i="3"/>
  <c r="CX146" i="3"/>
  <c r="CX143" i="3"/>
  <c r="CX147" i="3"/>
  <c r="CX144" i="3"/>
  <c r="CX148" i="3"/>
  <c r="CX145" i="3"/>
  <c r="CP111" i="1"/>
  <c r="O111" i="1" s="1"/>
  <c r="K249" i="5" s="1"/>
  <c r="AB110" i="1"/>
  <c r="CQ110" i="1"/>
  <c r="P110" i="1" s="1"/>
  <c r="CY107" i="1"/>
  <c r="X107" i="1" s="1"/>
  <c r="T224" i="5" s="1"/>
  <c r="K227" i="5" s="1"/>
  <c r="CZ107" i="1"/>
  <c r="Y107" i="1" s="1"/>
  <c r="V224" i="5" s="1"/>
  <c r="K228" i="5" s="1"/>
  <c r="V68" i="1"/>
  <c r="GX68" i="1"/>
  <c r="CZ67" i="1"/>
  <c r="Y67" i="1" s="1"/>
  <c r="V191" i="5" s="1"/>
  <c r="CY67" i="1"/>
  <c r="X67" i="1" s="1"/>
  <c r="T191" i="5" s="1"/>
  <c r="R58" i="1"/>
  <c r="GK58" i="1" s="1"/>
  <c r="BB131" i="1"/>
  <c r="I119" i="1"/>
  <c r="CX150" i="3"/>
  <c r="CX154" i="3"/>
  <c r="CX151" i="3"/>
  <c r="CX155" i="3"/>
  <c r="CX152" i="3"/>
  <c r="CX156" i="3"/>
  <c r="CX157" i="3"/>
  <c r="CX149" i="3"/>
  <c r="CX153" i="3"/>
  <c r="P115" i="1"/>
  <c r="CP115" i="1" s="1"/>
  <c r="O115" i="1" s="1"/>
  <c r="K271" i="5" s="1"/>
  <c r="T114" i="1"/>
  <c r="U109" i="1"/>
  <c r="W109" i="1"/>
  <c r="S109" i="1"/>
  <c r="R68" i="1"/>
  <c r="GK68" i="1" s="1"/>
  <c r="V58" i="1"/>
  <c r="GX58" i="1"/>
  <c r="CZ57" i="1"/>
  <c r="Y57" i="1" s="1"/>
  <c r="V149" i="5" s="1"/>
  <c r="CY57" i="1"/>
  <c r="X57" i="1" s="1"/>
  <c r="T149" i="5" s="1"/>
  <c r="AB54" i="1"/>
  <c r="CR54" i="1"/>
  <c r="AB52" i="1"/>
  <c r="CQ52" i="1"/>
  <c r="P52" i="1" s="1"/>
  <c r="CP52" i="1" s="1"/>
  <c r="O52" i="1" s="1"/>
  <c r="K134" i="5" s="1"/>
  <c r="CQ47" i="1"/>
  <c r="P47" i="1" s="1"/>
  <c r="CP47" i="1" s="1"/>
  <c r="O47" i="1" s="1"/>
  <c r="K114" i="5" s="1"/>
  <c r="AB47" i="1"/>
  <c r="AO131" i="1"/>
  <c r="I121" i="1"/>
  <c r="T118" i="1"/>
  <c r="AB118" i="1"/>
  <c r="I117" i="1"/>
  <c r="S282" i="5" s="1"/>
  <c r="T115" i="1"/>
  <c r="W115" i="1"/>
  <c r="S115" i="1"/>
  <c r="U114" i="1"/>
  <c r="AB112" i="1"/>
  <c r="CQ112" i="1"/>
  <c r="P112" i="1" s="1"/>
  <c r="T109" i="1"/>
  <c r="Q109" i="1"/>
  <c r="CP109" i="1" s="1"/>
  <c r="O109" i="1" s="1"/>
  <c r="K240" i="5" s="1"/>
  <c r="CP107" i="1"/>
  <c r="O107" i="1" s="1"/>
  <c r="AD106" i="1"/>
  <c r="CS106" i="1"/>
  <c r="R106" i="1" s="1"/>
  <c r="K219" i="5" s="1"/>
  <c r="P68" i="1"/>
  <c r="CC26" i="1"/>
  <c r="AT72" i="1"/>
  <c r="AB64" i="1"/>
  <c r="CR64" i="1"/>
  <c r="Q64" i="1" s="1"/>
  <c r="CP64" i="1" s="1"/>
  <c r="O64" i="1" s="1"/>
  <c r="K182" i="5" s="1"/>
  <c r="CZ46" i="1"/>
  <c r="Y46" i="1" s="1"/>
  <c r="V107" i="5" s="1"/>
  <c r="CY46" i="1"/>
  <c r="X46" i="1" s="1"/>
  <c r="T107" i="5" s="1"/>
  <c r="K111" i="5" s="1"/>
  <c r="CQ69" i="1"/>
  <c r="P69" i="1" s="1"/>
  <c r="K199" i="5" s="1"/>
  <c r="U68" i="1"/>
  <c r="Q68" i="1"/>
  <c r="GX61" i="1"/>
  <c r="AD61" i="1"/>
  <c r="CR61" i="1" s="1"/>
  <c r="CS61" i="1"/>
  <c r="W60" i="1"/>
  <c r="S60" i="1"/>
  <c r="K163" i="5" s="1"/>
  <c r="T59" i="1"/>
  <c r="U58" i="1"/>
  <c r="Q58" i="1"/>
  <c r="W56" i="1"/>
  <c r="S56" i="1"/>
  <c r="AB56" i="1"/>
  <c r="CQ55" i="1"/>
  <c r="P55" i="1" s="1"/>
  <c r="CZ53" i="1"/>
  <c r="Y53" i="1" s="1"/>
  <c r="CS51" i="1"/>
  <c r="R51" i="1" s="1"/>
  <c r="AD51" i="1"/>
  <c r="CR51" i="1" s="1"/>
  <c r="Q51" i="1" s="1"/>
  <c r="CZ49" i="1"/>
  <c r="Y49" i="1" s="1"/>
  <c r="V123" i="5" s="1"/>
  <c r="AB49" i="1"/>
  <c r="CY43" i="1"/>
  <c r="X43" i="1" s="1"/>
  <c r="T103" i="5" s="1"/>
  <c r="CX134" i="3"/>
  <c r="CX138" i="3"/>
  <c r="CX131" i="3"/>
  <c r="CX135" i="3"/>
  <c r="CX139" i="3"/>
  <c r="CX132" i="3"/>
  <c r="CX136" i="3"/>
  <c r="CX140" i="3"/>
  <c r="CX141" i="3"/>
  <c r="CX133" i="3"/>
  <c r="CX137" i="3"/>
  <c r="CX130" i="3"/>
  <c r="CX127" i="3"/>
  <c r="CX128" i="3"/>
  <c r="CX129" i="3"/>
  <c r="CX122" i="3"/>
  <c r="CX126" i="3"/>
  <c r="CX123" i="3"/>
  <c r="CX120" i="3"/>
  <c r="CX124" i="3"/>
  <c r="CX125" i="3"/>
  <c r="CX121" i="3"/>
  <c r="CX110" i="3"/>
  <c r="CX108" i="3"/>
  <c r="CX109" i="3"/>
  <c r="CK26" i="1"/>
  <c r="BB72" i="1"/>
  <c r="AB70" i="1"/>
  <c r="W68" i="1"/>
  <c r="AB68" i="1"/>
  <c r="AB67" i="1"/>
  <c r="CQ67" i="1"/>
  <c r="P67" i="1" s="1"/>
  <c r="U60" i="1"/>
  <c r="AD59" i="1"/>
  <c r="CR59" i="1" s="1"/>
  <c r="Q59" i="1" s="1"/>
  <c r="CS59" i="1"/>
  <c r="R59" i="1" s="1"/>
  <c r="GK59" i="1" s="1"/>
  <c r="W58" i="1"/>
  <c r="AB58" i="1"/>
  <c r="CQ57" i="1"/>
  <c r="P57" i="1" s="1"/>
  <c r="K154" i="5" s="1"/>
  <c r="U56" i="1"/>
  <c r="Q56" i="1"/>
  <c r="CP56" i="1" s="1"/>
  <c r="O56" i="1" s="1"/>
  <c r="K147" i="5" s="1"/>
  <c r="CZ55" i="1"/>
  <c r="Y55" i="1" s="1"/>
  <c r="V146" i="5" s="1"/>
  <c r="CY55" i="1"/>
  <c r="X55" i="1" s="1"/>
  <c r="T146" i="5" s="1"/>
  <c r="AB53" i="1"/>
  <c r="CZ51" i="1"/>
  <c r="Y51" i="1" s="1"/>
  <c r="V133" i="5" s="1"/>
  <c r="CZ40" i="1"/>
  <c r="Y40" i="1" s="1"/>
  <c r="V100" i="5" s="1"/>
  <c r="CY40" i="1"/>
  <c r="X40" i="1" s="1"/>
  <c r="T100" i="5" s="1"/>
  <c r="T68" i="1"/>
  <c r="AB66" i="1"/>
  <c r="CR66" i="1"/>
  <c r="Q66" i="1" s="1"/>
  <c r="CP66" i="1"/>
  <c r="O66" i="1" s="1"/>
  <c r="CQ65" i="1"/>
  <c r="P65" i="1" s="1"/>
  <c r="CZ64" i="1"/>
  <c r="Y64" i="1" s="1"/>
  <c r="V182" i="5" s="1"/>
  <c r="AD63" i="1"/>
  <c r="CS63" i="1"/>
  <c r="R63" i="1" s="1"/>
  <c r="K177" i="5" s="1"/>
  <c r="AB62" i="1"/>
  <c r="CR62" i="1"/>
  <c r="CX78" i="3"/>
  <c r="CX82" i="3"/>
  <c r="CX86" i="3"/>
  <c r="CX79" i="3"/>
  <c r="CX83" i="3"/>
  <c r="CX87" i="3"/>
  <c r="CX80" i="3"/>
  <c r="CX84" i="3"/>
  <c r="CX88" i="3"/>
  <c r="CX85" i="3"/>
  <c r="CX89" i="3"/>
  <c r="CX81" i="3"/>
  <c r="I62" i="1"/>
  <c r="U171" i="5" s="1"/>
  <c r="I61" i="1"/>
  <c r="U170" i="5" s="1"/>
  <c r="T58" i="1"/>
  <c r="CD72" i="1"/>
  <c r="CY48" i="1"/>
  <c r="X48" i="1" s="1"/>
  <c r="T116" i="5" s="1"/>
  <c r="CY47" i="1"/>
  <c r="X47" i="1" s="1"/>
  <c r="T114" i="5" s="1"/>
  <c r="AD69" i="1"/>
  <c r="AD67" i="1"/>
  <c r="CR67" i="1" s="1"/>
  <c r="Q67" i="1" s="1"/>
  <c r="AD65" i="1"/>
  <c r="CR65" i="1" s="1"/>
  <c r="Q65" i="1" s="1"/>
  <c r="AB63" i="1"/>
  <c r="CX90" i="3"/>
  <c r="CX94" i="3"/>
  <c r="CX98" i="3"/>
  <c r="CX91" i="3"/>
  <c r="CX95" i="3"/>
  <c r="CX92" i="3"/>
  <c r="CX96" i="3"/>
  <c r="CX93" i="3"/>
  <c r="CX97" i="3"/>
  <c r="AB61" i="1"/>
  <c r="AB59" i="1"/>
  <c r="AD57" i="1"/>
  <c r="AD55" i="1"/>
  <c r="CR55" i="1" s="1"/>
  <c r="Q55" i="1" s="1"/>
  <c r="CS50" i="1"/>
  <c r="R50" i="1" s="1"/>
  <c r="K128" i="5" s="1"/>
  <c r="CP49" i="1"/>
  <c r="O49" i="1" s="1"/>
  <c r="K123" i="5" s="1"/>
  <c r="T45" i="1"/>
  <c r="AB41" i="1"/>
  <c r="CR28" i="1"/>
  <c r="Q28" i="1" s="1"/>
  <c r="AB28" i="1"/>
  <c r="CX102" i="3"/>
  <c r="CX106" i="3"/>
  <c r="CX103" i="3"/>
  <c r="CX107" i="3"/>
  <c r="CX104" i="3"/>
  <c r="CX105" i="3"/>
  <c r="CX74" i="3"/>
  <c r="CX71" i="3"/>
  <c r="CX75" i="3"/>
  <c r="CX72" i="3"/>
  <c r="CX76" i="3"/>
  <c r="CX73" i="3"/>
  <c r="CX77" i="3"/>
  <c r="CX62" i="3"/>
  <c r="CX66" i="3"/>
  <c r="CX70" i="3"/>
  <c r="CX63" i="3"/>
  <c r="CX67" i="3"/>
  <c r="CX64" i="3"/>
  <c r="CX68" i="3"/>
  <c r="CX69" i="3"/>
  <c r="I54" i="1"/>
  <c r="AB51" i="1"/>
  <c r="CQ51" i="1"/>
  <c r="P51" i="1" s="1"/>
  <c r="CP51" i="1" s="1"/>
  <c r="O51" i="1" s="1"/>
  <c r="K133" i="5" s="1"/>
  <c r="AD45" i="1"/>
  <c r="CS45" i="1"/>
  <c r="R45" i="1" s="1"/>
  <c r="GK45" i="1" s="1"/>
  <c r="AB43" i="1"/>
  <c r="CQ43" i="1"/>
  <c r="P43" i="1" s="1"/>
  <c r="CQ40" i="1"/>
  <c r="P40" i="1" s="1"/>
  <c r="CP40" i="1" s="1"/>
  <c r="O40" i="1" s="1"/>
  <c r="K100" i="5" s="1"/>
  <c r="AB40" i="1"/>
  <c r="CQ36" i="1"/>
  <c r="CX99" i="3"/>
  <c r="CX100" i="3"/>
  <c r="CX101" i="3"/>
  <c r="R54" i="1"/>
  <c r="GK54" i="1" s="1"/>
  <c r="AB50" i="1"/>
  <c r="CR50" i="1"/>
  <c r="Q50" i="1" s="1"/>
  <c r="CQ46" i="1"/>
  <c r="P46" i="1" s="1"/>
  <c r="AB46" i="1"/>
  <c r="AB44" i="1"/>
  <c r="CY41" i="1"/>
  <c r="X41" i="1" s="1"/>
  <c r="T101" i="5" s="1"/>
  <c r="AB39" i="1"/>
  <c r="CQ39" i="1"/>
  <c r="P39" i="1" s="1"/>
  <c r="P45" i="1"/>
  <c r="CS36" i="1"/>
  <c r="AD36" i="1"/>
  <c r="CR36" i="1" s="1"/>
  <c r="CQ34" i="1"/>
  <c r="P34" i="1" s="1"/>
  <c r="K73" i="5" s="1"/>
  <c r="CR33" i="1"/>
  <c r="Q33" i="1" s="1"/>
  <c r="CP33" i="1" s="1"/>
  <c r="O33" i="1" s="1"/>
  <c r="K66" i="5" s="1"/>
  <c r="AB33" i="1"/>
  <c r="CY29" i="1"/>
  <c r="X29" i="1" s="1"/>
  <c r="T37" i="5" s="1"/>
  <c r="K42" i="5" s="1"/>
  <c r="CZ29" i="1"/>
  <c r="Y29" i="1" s="1"/>
  <c r="V37" i="5" s="1"/>
  <c r="K43" i="5" s="1"/>
  <c r="AB48" i="1"/>
  <c r="CX43" i="3"/>
  <c r="CX44" i="3"/>
  <c r="CX45" i="3"/>
  <c r="W45" i="1"/>
  <c r="S45" i="1"/>
  <c r="CR41" i="1"/>
  <c r="Q41" i="1" s="1"/>
  <c r="T41" i="1"/>
  <c r="CZ39" i="1"/>
  <c r="Y39" i="1" s="1"/>
  <c r="V91" i="5" s="1"/>
  <c r="U37" i="1"/>
  <c r="CR37" i="1"/>
  <c r="Q37" i="1" s="1"/>
  <c r="AB37" i="1"/>
  <c r="P37" i="1"/>
  <c r="CP35" i="1"/>
  <c r="O35" i="1" s="1"/>
  <c r="V33" i="1"/>
  <c r="GX30" i="1"/>
  <c r="T30" i="1"/>
  <c r="CQ38" i="1"/>
  <c r="CZ35" i="1"/>
  <c r="Y35" i="1" s="1"/>
  <c r="V78" i="5" s="1"/>
  <c r="CY35" i="1"/>
  <c r="X35" i="1" s="1"/>
  <c r="T78" i="5" s="1"/>
  <c r="AB35" i="1"/>
  <c r="CQ32" i="1"/>
  <c r="CX6" i="3"/>
  <c r="CX7" i="3"/>
  <c r="CX8" i="3"/>
  <c r="CX5" i="3"/>
  <c r="CX9" i="3"/>
  <c r="V30" i="1"/>
  <c r="AD38" i="1"/>
  <c r="CR38" i="1" s="1"/>
  <c r="CS38" i="1"/>
  <c r="W37" i="1"/>
  <c r="S37" i="1"/>
  <c r="CS34" i="1"/>
  <c r="R34" i="1" s="1"/>
  <c r="AD34" i="1"/>
  <c r="CS32" i="1"/>
  <c r="AD32" i="1"/>
  <c r="CR32" i="1" s="1"/>
  <c r="W31" i="1"/>
  <c r="AB31" i="1"/>
  <c r="AB30" i="1"/>
  <c r="CQ30" i="1"/>
  <c r="P30" i="1" s="1"/>
  <c r="K51" i="5" s="1"/>
  <c r="CX10" i="3"/>
  <c r="CX14" i="3"/>
  <c r="CX11" i="3"/>
  <c r="CX15" i="3"/>
  <c r="CX12" i="3"/>
  <c r="CX16" i="3"/>
  <c r="I32" i="1"/>
  <c r="CX13" i="3"/>
  <c r="U30" i="1"/>
  <c r="CX34" i="3"/>
  <c r="CX38" i="3"/>
  <c r="CX42" i="3"/>
  <c r="CX31" i="3"/>
  <c r="CX35" i="3"/>
  <c r="CX39" i="3"/>
  <c r="CX32" i="3"/>
  <c r="CX36" i="3"/>
  <c r="CX40" i="3"/>
  <c r="CX37" i="3"/>
  <c r="CX41" i="3"/>
  <c r="CX26" i="3"/>
  <c r="CX30" i="3"/>
  <c r="CX23" i="3"/>
  <c r="CX27" i="3"/>
  <c r="CX24" i="3"/>
  <c r="CX28" i="3"/>
  <c r="I36" i="1"/>
  <c r="CX25" i="3"/>
  <c r="CX29" i="3"/>
  <c r="I38" i="1"/>
  <c r="E89" i="5" s="1"/>
  <c r="W33" i="1"/>
  <c r="S33" i="1"/>
  <c r="CS30" i="1"/>
  <c r="R30" i="1" s="1"/>
  <c r="K50" i="5" s="1"/>
  <c r="AD30" i="1"/>
  <c r="CQ29" i="1"/>
  <c r="P29" i="1" s="1"/>
  <c r="AB29" i="1"/>
  <c r="CX18" i="3"/>
  <c r="CX22" i="3"/>
  <c r="CX19" i="3"/>
  <c r="CX20" i="3"/>
  <c r="CP28" i="1"/>
  <c r="O28" i="1" s="1"/>
  <c r="CX21" i="3"/>
  <c r="CX4" i="3"/>
  <c r="CX3" i="3"/>
  <c r="K278" i="5" l="1"/>
  <c r="K289" i="5"/>
  <c r="J332" i="5"/>
  <c r="P332" i="5" s="1"/>
  <c r="V36" i="1"/>
  <c r="E87" i="5"/>
  <c r="S36" i="1"/>
  <c r="K120" i="5"/>
  <c r="CP59" i="1"/>
  <c r="O59" i="1" s="1"/>
  <c r="K159" i="5" s="1"/>
  <c r="S119" i="1"/>
  <c r="E293" i="5"/>
  <c r="T306" i="5"/>
  <c r="K311" i="5" s="1"/>
  <c r="K319" i="5"/>
  <c r="L106" i="5"/>
  <c r="Q106" i="5" s="1"/>
  <c r="L99" i="5"/>
  <c r="R70" i="5"/>
  <c r="AO162" i="1"/>
  <c r="F172" i="1"/>
  <c r="GK69" i="1"/>
  <c r="K198" i="5"/>
  <c r="H279" i="5"/>
  <c r="L305" i="5"/>
  <c r="Q305" i="5" s="1"/>
  <c r="L303" i="5"/>
  <c r="H200" i="5"/>
  <c r="CP46" i="1"/>
  <c r="O46" i="1" s="1"/>
  <c r="K110" i="5"/>
  <c r="L55" i="5"/>
  <c r="Q55" i="5" s="1"/>
  <c r="L205" i="5" s="1"/>
  <c r="L54" i="5"/>
  <c r="T44" i="1"/>
  <c r="CP50" i="1"/>
  <c r="O50" i="1" s="1"/>
  <c r="K127" i="5"/>
  <c r="GX54" i="1"/>
  <c r="E145" i="5"/>
  <c r="CR69" i="1"/>
  <c r="Q69" i="1" s="1"/>
  <c r="K197" i="5" s="1"/>
  <c r="H197" i="5"/>
  <c r="G204" i="5" s="1"/>
  <c r="O204" i="5" s="1"/>
  <c r="P54" i="1"/>
  <c r="L172" i="5"/>
  <c r="Q172" i="5" s="1"/>
  <c r="L169" i="5"/>
  <c r="CR106" i="1"/>
  <c r="Q106" i="1" s="1"/>
  <c r="K218" i="5" s="1"/>
  <c r="H218" i="5"/>
  <c r="GK34" i="1"/>
  <c r="K72" i="5"/>
  <c r="Q38" i="1"/>
  <c r="R36" i="1"/>
  <c r="GK36" i="1" s="1"/>
  <c r="CP43" i="1"/>
  <c r="O43" i="1" s="1"/>
  <c r="K103" i="5" s="1"/>
  <c r="CR57" i="1"/>
  <c r="Q57" i="1" s="1"/>
  <c r="K152" i="5" s="1"/>
  <c r="H152" i="5"/>
  <c r="W61" i="1"/>
  <c r="CR63" i="1"/>
  <c r="Q63" i="1" s="1"/>
  <c r="H176" i="5"/>
  <c r="V136" i="5"/>
  <c r="CY106" i="1"/>
  <c r="X106" i="1" s="1"/>
  <c r="T216" i="5" s="1"/>
  <c r="K220" i="5" s="1"/>
  <c r="K256" i="5"/>
  <c r="BZ26" i="1"/>
  <c r="CZ110" i="1"/>
  <c r="Y110" i="1" s="1"/>
  <c r="V242" i="5" s="1"/>
  <c r="CY42" i="1"/>
  <c r="X42" i="1" s="1"/>
  <c r="T102" i="5" s="1"/>
  <c r="CZ66" i="1"/>
  <c r="Y66" i="1" s="1"/>
  <c r="V185" i="5" s="1"/>
  <c r="K189" i="5" s="1"/>
  <c r="V119" i="1"/>
  <c r="CZ122" i="1"/>
  <c r="Y122" i="1" s="1"/>
  <c r="V306" i="5" s="1"/>
  <c r="K269" i="5"/>
  <c r="AB129" i="1"/>
  <c r="CP125" i="1"/>
  <c r="O125" i="1" s="1"/>
  <c r="K323" i="5" s="1"/>
  <c r="G124" i="5"/>
  <c r="O124" i="5" s="1"/>
  <c r="G135" i="5"/>
  <c r="O135" i="5" s="1"/>
  <c r="H89" i="5"/>
  <c r="W89" i="5" s="1"/>
  <c r="W115" i="5"/>
  <c r="CZ48" i="1"/>
  <c r="Y48" i="1" s="1"/>
  <c r="V116" i="5" s="1"/>
  <c r="K121" i="5" s="1"/>
  <c r="K117" i="5"/>
  <c r="AB42" i="1"/>
  <c r="CR42" i="1"/>
  <c r="Q42" i="1" s="1"/>
  <c r="U44" i="1"/>
  <c r="GX33" i="1"/>
  <c r="E66" i="5"/>
  <c r="T33" i="1"/>
  <c r="CR39" i="1"/>
  <c r="Q39" i="1" s="1"/>
  <c r="K94" i="5" s="1"/>
  <c r="H94" i="5"/>
  <c r="P59" i="1"/>
  <c r="H171" i="5"/>
  <c r="W171" i="5" s="1"/>
  <c r="H189" i="5"/>
  <c r="H191" i="5"/>
  <c r="W191" i="5" s="1"/>
  <c r="L204" i="5"/>
  <c r="Q204" i="5" s="1"/>
  <c r="L202" i="5"/>
  <c r="R244" i="5"/>
  <c r="K41" i="5"/>
  <c r="GK29" i="1"/>
  <c r="GK35" i="1"/>
  <c r="K82" i="5"/>
  <c r="H183" i="5"/>
  <c r="W183" i="5" s="1"/>
  <c r="J223" i="5"/>
  <c r="P223" i="5" s="1"/>
  <c r="J230" i="5"/>
  <c r="P230" i="5" s="1"/>
  <c r="W111" i="1"/>
  <c r="H328" i="5"/>
  <c r="G332" i="5" s="1"/>
  <c r="O332" i="5" s="1"/>
  <c r="CR112" i="1"/>
  <c r="Q112" i="1" s="1"/>
  <c r="K254" i="5" s="1"/>
  <c r="H254" i="5"/>
  <c r="AB121" i="1"/>
  <c r="GK31" i="1"/>
  <c r="K60" i="5"/>
  <c r="S145" i="5"/>
  <c r="S159" i="5"/>
  <c r="H155" i="5" s="1"/>
  <c r="H180" i="5"/>
  <c r="G184" i="5" s="1"/>
  <c r="O184" i="5" s="1"/>
  <c r="L190" i="5"/>
  <c r="L193" i="5"/>
  <c r="Q193" i="5" s="1"/>
  <c r="GX67" i="1"/>
  <c r="CR105" i="1"/>
  <c r="Q105" i="1" s="1"/>
  <c r="K210" i="5" s="1"/>
  <c r="J215" i="5" s="1"/>
  <c r="P215" i="5" s="1"/>
  <c r="H210" i="5"/>
  <c r="GX109" i="1"/>
  <c r="E240" i="5"/>
  <c r="H291" i="5"/>
  <c r="H302" i="5"/>
  <c r="CR124" i="1"/>
  <c r="Q124" i="1" s="1"/>
  <c r="K318" i="5" s="1"/>
  <c r="H318" i="5"/>
  <c r="X324" i="5" s="1"/>
  <c r="CY53" i="1"/>
  <c r="X53" i="1" s="1"/>
  <c r="T136" i="5" s="1"/>
  <c r="K138" i="5"/>
  <c r="G355" i="5"/>
  <c r="O355" i="5" s="1"/>
  <c r="W355" i="5"/>
  <c r="R111" i="1"/>
  <c r="GK111" i="1" s="1"/>
  <c r="T111" i="1"/>
  <c r="T32" i="1"/>
  <c r="E65" i="5"/>
  <c r="P36" i="1"/>
  <c r="CP58" i="1"/>
  <c r="O58" i="1" s="1"/>
  <c r="K158" i="5" s="1"/>
  <c r="H97" i="5"/>
  <c r="H85" i="5"/>
  <c r="CR48" i="1"/>
  <c r="Q48" i="1" s="1"/>
  <c r="H118" i="5"/>
  <c r="W124" i="5" s="1"/>
  <c r="CR60" i="1"/>
  <c r="Q60" i="1" s="1"/>
  <c r="H164" i="5"/>
  <c r="CR122" i="1"/>
  <c r="Q122" i="1" s="1"/>
  <c r="K308" i="5" s="1"/>
  <c r="H308" i="5"/>
  <c r="X315" i="5" s="1"/>
  <c r="CR114" i="1"/>
  <c r="Q114" i="1" s="1"/>
  <c r="K265" i="5" s="1"/>
  <c r="H265" i="5"/>
  <c r="GX44" i="1"/>
  <c r="E104" i="5"/>
  <c r="R44" i="1"/>
  <c r="GK44" i="1" s="1"/>
  <c r="S44" i="1"/>
  <c r="CZ28" i="1"/>
  <c r="Y28" i="1" s="1"/>
  <c r="V30" i="5" s="1"/>
  <c r="K34" i="5" s="1"/>
  <c r="CP39" i="1"/>
  <c r="O39" i="1" s="1"/>
  <c r="GM39" i="1" s="1"/>
  <c r="K96" i="5"/>
  <c r="U61" i="1"/>
  <c r="E170" i="5"/>
  <c r="K112" i="5"/>
  <c r="L270" i="5"/>
  <c r="L272" i="5"/>
  <c r="Q272" i="5" s="1"/>
  <c r="P121" i="1"/>
  <c r="E304" i="5"/>
  <c r="CG72" i="1"/>
  <c r="CZ69" i="1"/>
  <c r="Y69" i="1" s="1"/>
  <c r="V194" i="5" s="1"/>
  <c r="P61" i="1"/>
  <c r="T117" i="1"/>
  <c r="AG131" i="1" s="1"/>
  <c r="W121" i="1"/>
  <c r="AK168" i="1"/>
  <c r="T345" i="5"/>
  <c r="K348" i="5" s="1"/>
  <c r="J351" i="5" s="1"/>
  <c r="P351" i="5" s="1"/>
  <c r="J356" i="5" s="1"/>
  <c r="S87" i="5"/>
  <c r="H84" i="5" s="1"/>
  <c r="K93" i="5"/>
  <c r="CY39" i="1"/>
  <c r="X39" i="1" s="1"/>
  <c r="T91" i="5" s="1"/>
  <c r="R39" i="5"/>
  <c r="R48" i="5"/>
  <c r="H87" i="5"/>
  <c r="W87" i="5" s="1"/>
  <c r="S89" i="5"/>
  <c r="H104" i="5"/>
  <c r="W104" i="5" s="1"/>
  <c r="S65" i="5"/>
  <c r="H156" i="5"/>
  <c r="GK60" i="1"/>
  <c r="K165" i="5"/>
  <c r="CR116" i="1"/>
  <c r="Q116" i="1" s="1"/>
  <c r="K276" i="5" s="1"/>
  <c r="H276" i="5"/>
  <c r="R346" i="5"/>
  <c r="G351" i="5"/>
  <c r="O351" i="5" s="1"/>
  <c r="G356" i="5" s="1"/>
  <c r="W351" i="5"/>
  <c r="GK57" i="1"/>
  <c r="K153" i="5"/>
  <c r="L250" i="5"/>
  <c r="Q250" i="5" s="1"/>
  <c r="L248" i="5"/>
  <c r="CP122" i="1"/>
  <c r="O122" i="1" s="1"/>
  <c r="GO122" i="1" s="1"/>
  <c r="K310" i="5"/>
  <c r="K329" i="5"/>
  <c r="H40" i="5"/>
  <c r="G45" i="5" s="1"/>
  <c r="O45" i="5" s="1"/>
  <c r="CR29" i="1"/>
  <c r="Q29" i="1" s="1"/>
  <c r="K40" i="5" s="1"/>
  <c r="J45" i="5" s="1"/>
  <c r="P45" i="5" s="1"/>
  <c r="Q44" i="1"/>
  <c r="CZ52" i="1"/>
  <c r="Y52" i="1" s="1"/>
  <c r="V134" i="5" s="1"/>
  <c r="CY52" i="1"/>
  <c r="X52" i="1" s="1"/>
  <c r="T134" i="5" s="1"/>
  <c r="V59" i="1"/>
  <c r="H170" i="5"/>
  <c r="W170" i="5" s="1"/>
  <c r="CZ70" i="1"/>
  <c r="Y70" i="1" s="1"/>
  <c r="V203" i="5" s="1"/>
  <c r="CY70" i="1"/>
  <c r="X70" i="1" s="1"/>
  <c r="T203" i="5" s="1"/>
  <c r="CR108" i="1"/>
  <c r="Q108" i="1" s="1"/>
  <c r="K234" i="5" s="1"/>
  <c r="H234" i="5"/>
  <c r="S249" i="5"/>
  <c r="H246" i="5" s="1"/>
  <c r="K255" i="5"/>
  <c r="GK112" i="1"/>
  <c r="H293" i="5"/>
  <c r="X293" i="5" s="1"/>
  <c r="H329" i="5"/>
  <c r="U66" i="5"/>
  <c r="S59" i="1"/>
  <c r="CY59" i="1" s="1"/>
  <c r="X59" i="1" s="1"/>
  <c r="T159" i="5" s="1"/>
  <c r="R217" i="5"/>
  <c r="G223" i="5"/>
  <c r="O223" i="5" s="1"/>
  <c r="X223" i="5"/>
  <c r="S293" i="5"/>
  <c r="E102" i="5"/>
  <c r="P42" i="1"/>
  <c r="CP42" i="1" s="1"/>
  <c r="O42" i="1" s="1"/>
  <c r="K102" i="5" s="1"/>
  <c r="U42" i="1"/>
  <c r="W44" i="1"/>
  <c r="U191" i="5"/>
  <c r="H201" i="5"/>
  <c r="CP70" i="1"/>
  <c r="O70" i="1" s="1"/>
  <c r="H238" i="5"/>
  <c r="S240" i="5"/>
  <c r="H237" i="5" s="1"/>
  <c r="G241" i="5" s="1"/>
  <c r="O241" i="5" s="1"/>
  <c r="H290" i="5"/>
  <c r="S304" i="5"/>
  <c r="H101" i="5"/>
  <c r="W101" i="5" s="1"/>
  <c r="CZ47" i="1"/>
  <c r="Y47" i="1" s="1"/>
  <c r="V114" i="5" s="1"/>
  <c r="H142" i="5"/>
  <c r="U41" i="1"/>
  <c r="U111" i="1"/>
  <c r="AP162" i="1"/>
  <c r="F177" i="1"/>
  <c r="K258" i="5"/>
  <c r="K267" i="5"/>
  <c r="CR30" i="1"/>
  <c r="Q30" i="1" s="1"/>
  <c r="K49" i="5" s="1"/>
  <c r="H49" i="5"/>
  <c r="W55" i="5" s="1"/>
  <c r="P44" i="1"/>
  <c r="CP44" i="1" s="1"/>
  <c r="O44" i="1" s="1"/>
  <c r="K104" i="5" s="1"/>
  <c r="CP65" i="1"/>
  <c r="O65" i="1" s="1"/>
  <c r="K183" i="5" s="1"/>
  <c r="CY28" i="1"/>
  <c r="X28" i="1" s="1"/>
  <c r="T30" i="5" s="1"/>
  <c r="K33" i="5" s="1"/>
  <c r="J36" i="5" s="1"/>
  <c r="P36" i="5" s="1"/>
  <c r="CR34" i="1"/>
  <c r="Q34" i="1" s="1"/>
  <c r="K71" i="5" s="1"/>
  <c r="H71" i="5"/>
  <c r="G77" i="5" s="1"/>
  <c r="O77" i="5" s="1"/>
  <c r="V62" i="1"/>
  <c r="E171" i="5"/>
  <c r="GX117" i="1"/>
  <c r="E282" i="5"/>
  <c r="CY69" i="1"/>
  <c r="X69" i="1" s="1"/>
  <c r="T194" i="5" s="1"/>
  <c r="CY110" i="1"/>
  <c r="X110" i="1" s="1"/>
  <c r="T242" i="5" s="1"/>
  <c r="CY66" i="1"/>
  <c r="X66" i="1" s="1"/>
  <c r="T185" i="5" s="1"/>
  <c r="CP110" i="1"/>
  <c r="O110" i="1" s="1"/>
  <c r="K245" i="5"/>
  <c r="CP108" i="1"/>
  <c r="O108" i="1" s="1"/>
  <c r="GM108" i="1" s="1"/>
  <c r="K236" i="5"/>
  <c r="Q121" i="1"/>
  <c r="W119" i="1"/>
  <c r="CY128" i="1"/>
  <c r="X128" i="1" s="1"/>
  <c r="T333" i="5" s="1"/>
  <c r="K338" i="5" s="1"/>
  <c r="AL168" i="1"/>
  <c r="Y168" i="1" s="1"/>
  <c r="V345" i="5"/>
  <c r="K349" i="5" s="1"/>
  <c r="G324" i="5"/>
  <c r="O324" i="5" s="1"/>
  <c r="U87" i="5"/>
  <c r="H112" i="5"/>
  <c r="G115" i="5" s="1"/>
  <c r="O115" i="5" s="1"/>
  <c r="W135" i="5"/>
  <c r="R32" i="5"/>
  <c r="G24" i="5" s="1"/>
  <c r="G36" i="5"/>
  <c r="O36" i="5" s="1"/>
  <c r="W36" i="5"/>
  <c r="U89" i="5"/>
  <c r="H62" i="5"/>
  <c r="U65" i="5"/>
  <c r="H63" i="5" s="1"/>
  <c r="K95" i="5"/>
  <c r="GK39" i="1"/>
  <c r="E159" i="5"/>
  <c r="U59" i="1"/>
  <c r="H159" i="5"/>
  <c r="W159" i="5" s="1"/>
  <c r="L181" i="5"/>
  <c r="L184" i="5"/>
  <c r="Q184" i="5" s="1"/>
  <c r="H247" i="5"/>
  <c r="G342" i="5"/>
  <c r="O342" i="5" s="1"/>
  <c r="S171" i="5"/>
  <c r="H249" i="5"/>
  <c r="X249" i="5" s="1"/>
  <c r="H65" i="5"/>
  <c r="W65" i="5" s="1"/>
  <c r="L90" i="5"/>
  <c r="Q90" i="5" s="1"/>
  <c r="L86" i="5"/>
  <c r="V44" i="1"/>
  <c r="W59" i="1"/>
  <c r="R226" i="5"/>
  <c r="G230" i="5"/>
  <c r="O230" i="5" s="1"/>
  <c r="W230" i="5"/>
  <c r="L241" i="5"/>
  <c r="Q241" i="5" s="1"/>
  <c r="L343" i="5" s="1"/>
  <c r="L239" i="5"/>
  <c r="U249" i="5"/>
  <c r="H280" i="5"/>
  <c r="CR118" i="1"/>
  <c r="Q118" i="1" s="1"/>
  <c r="K287" i="5" s="1"/>
  <c r="H287" i="5"/>
  <c r="G294" i="5" s="1"/>
  <c r="O294" i="5" s="1"/>
  <c r="S170" i="5"/>
  <c r="H167" i="5" s="1"/>
  <c r="E191" i="5"/>
  <c r="W67" i="1"/>
  <c r="R209" i="5"/>
  <c r="W215" i="5"/>
  <c r="G215" i="5"/>
  <c r="O215" i="5" s="1"/>
  <c r="U293" i="5"/>
  <c r="H304" i="5"/>
  <c r="X304" i="5" s="1"/>
  <c r="H341" i="5"/>
  <c r="X341" i="5" s="1"/>
  <c r="L67" i="5"/>
  <c r="Q67" i="5" s="1"/>
  <c r="L64" i="5"/>
  <c r="U104" i="5"/>
  <c r="H98" i="5" s="1"/>
  <c r="W106" i="5" s="1"/>
  <c r="H168" i="5"/>
  <c r="H179" i="5"/>
  <c r="S191" i="5"/>
  <c r="H188" i="5" s="1"/>
  <c r="H301" i="5"/>
  <c r="X305" i="5" s="1"/>
  <c r="P41" i="1"/>
  <c r="CP41" i="1" s="1"/>
  <c r="O41" i="1" s="1"/>
  <c r="H143" i="5"/>
  <c r="V111" i="1"/>
  <c r="GX111" i="1"/>
  <c r="GN64" i="1"/>
  <c r="GM64" i="1"/>
  <c r="GM113" i="1"/>
  <c r="GK30" i="1"/>
  <c r="GN42" i="1"/>
  <c r="GM42" i="1"/>
  <c r="GX32" i="1"/>
  <c r="GM66" i="1"/>
  <c r="CZ34" i="1"/>
  <c r="Y34" i="1" s="1"/>
  <c r="V68" i="5" s="1"/>
  <c r="K75" i="5" s="1"/>
  <c r="AT26" i="1"/>
  <c r="F90" i="1"/>
  <c r="GM107" i="1"/>
  <c r="GN107" i="1"/>
  <c r="V162" i="1"/>
  <c r="F191" i="1"/>
  <c r="GM28" i="1"/>
  <c r="GN28" i="1"/>
  <c r="U38" i="1"/>
  <c r="S38" i="1"/>
  <c r="CP30" i="1"/>
  <c r="O30" i="1" s="1"/>
  <c r="R38" i="1"/>
  <c r="GK38" i="1" s="1"/>
  <c r="P38" i="1"/>
  <c r="Q36" i="1"/>
  <c r="CP36" i="1" s="1"/>
  <c r="O36" i="1" s="1"/>
  <c r="K87" i="5" s="1"/>
  <c r="W38" i="1"/>
  <c r="GM40" i="1"/>
  <c r="GN40" i="1"/>
  <c r="AB45" i="1"/>
  <c r="CR45" i="1"/>
  <c r="Q45" i="1" s="1"/>
  <c r="CP45" i="1" s="1"/>
  <c r="O45" i="1" s="1"/>
  <c r="K105" i="5" s="1"/>
  <c r="Q62" i="1"/>
  <c r="GK63" i="1"/>
  <c r="CZ63" i="1"/>
  <c r="Y63" i="1" s="1"/>
  <c r="V173" i="5" s="1"/>
  <c r="K180" i="5" s="1"/>
  <c r="AB65" i="1"/>
  <c r="CP67" i="1"/>
  <c r="O67" i="1" s="1"/>
  <c r="K191" i="5" s="1"/>
  <c r="GK51" i="1"/>
  <c r="CY51" i="1"/>
  <c r="X51" i="1" s="1"/>
  <c r="T133" i="5" s="1"/>
  <c r="AB55" i="1"/>
  <c r="CY60" i="1"/>
  <c r="X60" i="1" s="1"/>
  <c r="CZ60" i="1"/>
  <c r="Y60" i="1" s="1"/>
  <c r="V161" i="5" s="1"/>
  <c r="V61" i="1"/>
  <c r="Q54" i="1"/>
  <c r="W117" i="1"/>
  <c r="AJ131" i="1" s="1"/>
  <c r="CZ59" i="1"/>
  <c r="Y59" i="1" s="1"/>
  <c r="AB106" i="1"/>
  <c r="P117" i="1"/>
  <c r="Q119" i="1"/>
  <c r="GX121" i="1"/>
  <c r="CY125" i="1"/>
  <c r="X125" i="1" s="1"/>
  <c r="CZ125" i="1"/>
  <c r="Y125" i="1" s="1"/>
  <c r="V323" i="5" s="1"/>
  <c r="K321" i="5" s="1"/>
  <c r="S61" i="1"/>
  <c r="V121" i="1"/>
  <c r="GM122" i="1"/>
  <c r="AP26" i="1"/>
  <c r="F81" i="1"/>
  <c r="GK120" i="1"/>
  <c r="CZ120" i="1"/>
  <c r="Y120" i="1" s="1"/>
  <c r="V295" i="5" s="1"/>
  <c r="AU162" i="1"/>
  <c r="F187" i="1"/>
  <c r="U162" i="1"/>
  <c r="F190" i="1"/>
  <c r="CZ123" i="1"/>
  <c r="Y123" i="1" s="1"/>
  <c r="V314" i="5" s="1"/>
  <c r="AK162" i="1"/>
  <c r="X168" i="1"/>
  <c r="GN43" i="1"/>
  <c r="GM43" i="1"/>
  <c r="GX62" i="1"/>
  <c r="P62" i="1"/>
  <c r="GN47" i="1"/>
  <c r="GM47" i="1"/>
  <c r="BC162" i="1"/>
  <c r="F184" i="1"/>
  <c r="BC197" i="1"/>
  <c r="AL162" i="1"/>
  <c r="CZ33" i="1"/>
  <c r="Y33" i="1" s="1"/>
  <c r="CY33" i="1"/>
  <c r="X33" i="1" s="1"/>
  <c r="T36" i="1"/>
  <c r="AG72" i="1" s="1"/>
  <c r="R32" i="1"/>
  <c r="GK32" i="1" s="1"/>
  <c r="CZ37" i="1"/>
  <c r="Y37" i="1" s="1"/>
  <c r="V88" i="5" s="1"/>
  <c r="CY37" i="1"/>
  <c r="X37" i="1" s="1"/>
  <c r="T88" i="5" s="1"/>
  <c r="V38" i="1"/>
  <c r="AB32" i="1"/>
  <c r="CP37" i="1"/>
  <c r="O37" i="1" s="1"/>
  <c r="K88" i="5" s="1"/>
  <c r="CY45" i="1"/>
  <c r="X45" i="1" s="1"/>
  <c r="T105" i="5" s="1"/>
  <c r="CZ45" i="1"/>
  <c r="Y45" i="1" s="1"/>
  <c r="V105" i="5" s="1"/>
  <c r="GM46" i="1"/>
  <c r="GN46" i="1"/>
  <c r="V54" i="1"/>
  <c r="CZ30" i="1"/>
  <c r="Y30" i="1" s="1"/>
  <c r="V46" i="5" s="1"/>
  <c r="K53" i="5" s="1"/>
  <c r="AB36" i="1"/>
  <c r="GN51" i="1"/>
  <c r="GM49" i="1"/>
  <c r="GN49" i="1"/>
  <c r="GX38" i="1"/>
  <c r="CD26" i="1"/>
  <c r="AU72" i="1"/>
  <c r="U62" i="1"/>
  <c r="CP57" i="1"/>
  <c r="O57" i="1" s="1"/>
  <c r="BB26" i="1"/>
  <c r="F85" i="1"/>
  <c r="BB197" i="1"/>
  <c r="T54" i="1"/>
  <c r="CY56" i="1"/>
  <c r="X56" i="1" s="1"/>
  <c r="CZ56" i="1"/>
  <c r="Y56" i="1" s="1"/>
  <c r="V147" i="5" s="1"/>
  <c r="R61" i="1"/>
  <c r="GK61" i="1" s="1"/>
  <c r="CP69" i="1"/>
  <c r="O69" i="1" s="1"/>
  <c r="GK106" i="1"/>
  <c r="CZ106" i="1"/>
  <c r="Y106" i="1" s="1"/>
  <c r="V216" i="5" s="1"/>
  <c r="K221" i="5" s="1"/>
  <c r="CG26" i="1"/>
  <c r="AX72" i="1"/>
  <c r="U54" i="1"/>
  <c r="P119" i="1"/>
  <c r="U119" i="1"/>
  <c r="S54" i="1"/>
  <c r="AC131" i="1"/>
  <c r="GO108" i="1"/>
  <c r="T119" i="1"/>
  <c r="U121" i="1"/>
  <c r="GK128" i="1"/>
  <c r="CZ128" i="1"/>
  <c r="Y128" i="1" s="1"/>
  <c r="V333" i="5" s="1"/>
  <c r="K339" i="5" s="1"/>
  <c r="CY116" i="1"/>
  <c r="X116" i="1" s="1"/>
  <c r="CZ116" i="1"/>
  <c r="Y116" i="1" s="1"/>
  <c r="CG162" i="1"/>
  <c r="AX168" i="1"/>
  <c r="R119" i="1"/>
  <c r="GK119" i="1" s="1"/>
  <c r="CP164" i="1"/>
  <c r="O164" i="1" s="1"/>
  <c r="AC168" i="1"/>
  <c r="CI162" i="1"/>
  <c r="AZ168" i="1"/>
  <c r="W162" i="1"/>
  <c r="F192" i="1"/>
  <c r="T121" i="1"/>
  <c r="U32" i="1"/>
  <c r="S32" i="1"/>
  <c r="Q32" i="1"/>
  <c r="P32" i="1"/>
  <c r="AC72" i="1" s="1"/>
  <c r="GM35" i="1"/>
  <c r="GN35" i="1"/>
  <c r="CY36" i="1"/>
  <c r="X36" i="1" s="1"/>
  <c r="T87" i="5" s="1"/>
  <c r="CZ36" i="1"/>
  <c r="Y36" i="1" s="1"/>
  <c r="V87" i="5" s="1"/>
  <c r="CY58" i="1"/>
  <c r="X58" i="1" s="1"/>
  <c r="GM58" i="1" s="1"/>
  <c r="CZ58" i="1"/>
  <c r="Y58" i="1" s="1"/>
  <c r="V158" i="5" s="1"/>
  <c r="S62" i="1"/>
  <c r="AB120" i="1"/>
  <c r="CR120" i="1"/>
  <c r="Q120" i="1" s="1"/>
  <c r="T162" i="1"/>
  <c r="F189" i="1"/>
  <c r="CP29" i="1"/>
  <c r="O29" i="1" s="1"/>
  <c r="W36" i="1"/>
  <c r="U36" i="1"/>
  <c r="GX36" i="1"/>
  <c r="CJ72" i="1" s="1"/>
  <c r="CZ31" i="1"/>
  <c r="Y31" i="1" s="1"/>
  <c r="V56" i="5" s="1"/>
  <c r="CY31" i="1"/>
  <c r="X31" i="1" s="1"/>
  <c r="T56" i="5" s="1"/>
  <c r="V32" i="1"/>
  <c r="CY34" i="1"/>
  <c r="X34" i="1" s="1"/>
  <c r="T68" i="5" s="1"/>
  <c r="K74" i="5" s="1"/>
  <c r="AB38" i="1"/>
  <c r="CP31" i="1"/>
  <c r="O31" i="1" s="1"/>
  <c r="W32" i="1"/>
  <c r="AJ72" i="1" s="1"/>
  <c r="AB34" i="1"/>
  <c r="T38" i="1"/>
  <c r="CY30" i="1"/>
  <c r="X30" i="1" s="1"/>
  <c r="T46" i="5" s="1"/>
  <c r="K52" i="5" s="1"/>
  <c r="GK50" i="1"/>
  <c r="CZ50" i="1"/>
  <c r="Y50" i="1" s="1"/>
  <c r="V125" i="5" s="1"/>
  <c r="K131" i="5" s="1"/>
  <c r="CY50" i="1"/>
  <c r="X50" i="1" s="1"/>
  <c r="W54" i="1"/>
  <c r="R62" i="1"/>
  <c r="GK62" i="1" s="1"/>
  <c r="GM65" i="1"/>
  <c r="GN65" i="1"/>
  <c r="AB57" i="1"/>
  <c r="T61" i="1"/>
  <c r="CY68" i="1"/>
  <c r="X68" i="1" s="1"/>
  <c r="T192" i="5" s="1"/>
  <c r="CZ68" i="1"/>
  <c r="Y68" i="1" s="1"/>
  <c r="V192" i="5" s="1"/>
  <c r="CP55" i="1"/>
  <c r="O55" i="1" s="1"/>
  <c r="K146" i="5" s="1"/>
  <c r="Q61" i="1"/>
  <c r="CY63" i="1"/>
  <c r="X63" i="1" s="1"/>
  <c r="AB69" i="1"/>
  <c r="CP68" i="1"/>
  <c r="O68" i="1" s="1"/>
  <c r="K192" i="5" s="1"/>
  <c r="CY115" i="1"/>
  <c r="X115" i="1" s="1"/>
  <c r="CZ115" i="1"/>
  <c r="Y115" i="1" s="1"/>
  <c r="V271" i="5" s="1"/>
  <c r="R117" i="1"/>
  <c r="V117" i="1"/>
  <c r="AI131" i="1" s="1"/>
  <c r="Q117" i="1"/>
  <c r="AO103" i="1"/>
  <c r="F135" i="1"/>
  <c r="AQ26" i="1"/>
  <c r="F82" i="1"/>
  <c r="T62" i="1"/>
  <c r="CY109" i="1"/>
  <c r="X109" i="1" s="1"/>
  <c r="CZ109" i="1"/>
  <c r="Y109" i="1" s="1"/>
  <c r="V240" i="5" s="1"/>
  <c r="K238" i="5" s="1"/>
  <c r="S117" i="1"/>
  <c r="F144" i="1"/>
  <c r="BB103" i="1"/>
  <c r="GO110" i="1"/>
  <c r="CY113" i="1"/>
  <c r="X113" i="1" s="1"/>
  <c r="CZ113" i="1"/>
  <c r="Y113" i="1" s="1"/>
  <c r="V260" i="5" s="1"/>
  <c r="BZ103" i="1"/>
  <c r="CG131" i="1"/>
  <c r="AQ131" i="1"/>
  <c r="S121" i="1"/>
  <c r="CP121" i="1" s="1"/>
  <c r="O121" i="1" s="1"/>
  <c r="K304" i="5" s="1"/>
  <c r="AB128" i="1"/>
  <c r="CR128" i="1"/>
  <c r="Q128" i="1" s="1"/>
  <c r="GO129" i="1"/>
  <c r="GM129" i="1"/>
  <c r="BY103" i="1"/>
  <c r="AP131" i="1"/>
  <c r="AP197" i="1" s="1"/>
  <c r="CI131" i="1"/>
  <c r="CD103" i="1"/>
  <c r="AU131" i="1"/>
  <c r="R121" i="1"/>
  <c r="GK121" i="1" s="1"/>
  <c r="GM127" i="1"/>
  <c r="GO127" i="1"/>
  <c r="AO197" i="1"/>
  <c r="CI26" i="1"/>
  <c r="AZ72" i="1"/>
  <c r="GX119" i="1"/>
  <c r="AB123" i="1"/>
  <c r="CR123" i="1"/>
  <c r="Q123" i="1" s="1"/>
  <c r="CP123" i="1" s="1"/>
  <c r="O123" i="1" s="1"/>
  <c r="K314" i="5" s="1"/>
  <c r="AQ162" i="1"/>
  <c r="F178" i="1"/>
  <c r="W62" i="1"/>
  <c r="CZ111" i="1"/>
  <c r="Y111" i="1" s="1"/>
  <c r="V249" i="5" s="1"/>
  <c r="Q162" i="1"/>
  <c r="F180" i="1"/>
  <c r="AE162" i="1"/>
  <c r="R168" i="1"/>
  <c r="CJ162" i="1"/>
  <c r="BA168" i="1"/>
  <c r="AF162" i="1"/>
  <c r="S168" i="1"/>
  <c r="AT162" i="1"/>
  <c r="F186" i="1"/>
  <c r="X250" i="5" l="1"/>
  <c r="G250" i="5"/>
  <c r="O250" i="5" s="1"/>
  <c r="J315" i="5"/>
  <c r="P315" i="5" s="1"/>
  <c r="K101" i="5"/>
  <c r="GN41" i="1"/>
  <c r="GM41" i="1"/>
  <c r="G20" i="5"/>
  <c r="G90" i="5"/>
  <c r="O90" i="5" s="1"/>
  <c r="W90" i="5"/>
  <c r="W193" i="5"/>
  <c r="G193" i="5"/>
  <c r="O193" i="5" s="1"/>
  <c r="W67" i="5"/>
  <c r="GM63" i="1"/>
  <c r="T173" i="5"/>
  <c r="K179" i="5" s="1"/>
  <c r="J77" i="5"/>
  <c r="P77" i="5" s="1"/>
  <c r="K203" i="5"/>
  <c r="GN70" i="1"/>
  <c r="GM70" i="1"/>
  <c r="GM53" i="1"/>
  <c r="CY111" i="1"/>
  <c r="X111" i="1" s="1"/>
  <c r="GM110" i="1"/>
  <c r="GO113" i="1"/>
  <c r="T260" i="5"/>
  <c r="K257" i="5" s="1"/>
  <c r="J261" i="5" s="1"/>
  <c r="P261" i="5" s="1"/>
  <c r="GO109" i="1"/>
  <c r="T240" i="5"/>
  <c r="K237" i="5" s="1"/>
  <c r="CJ131" i="1"/>
  <c r="CP128" i="1"/>
  <c r="O128" i="1" s="1"/>
  <c r="GM128" i="1" s="1"/>
  <c r="K335" i="5"/>
  <c r="CP106" i="1"/>
  <c r="O106" i="1" s="1"/>
  <c r="GN50" i="1"/>
  <c r="T125" i="5"/>
  <c r="K130" i="5" s="1"/>
  <c r="J135" i="5" s="1"/>
  <c r="P135" i="5" s="1"/>
  <c r="CP120" i="1"/>
  <c r="O120" i="1" s="1"/>
  <c r="K298" i="5"/>
  <c r="GN52" i="1"/>
  <c r="T273" i="5"/>
  <c r="CP105" i="1"/>
  <c r="O105" i="1" s="1"/>
  <c r="GM56" i="1"/>
  <c r="T147" i="5"/>
  <c r="GM51" i="1"/>
  <c r="GN39" i="1"/>
  <c r="GN59" i="1"/>
  <c r="V159" i="5"/>
  <c r="K156" i="5" s="1"/>
  <c r="K188" i="5"/>
  <c r="J193" i="5" s="1"/>
  <c r="P193" i="5" s="1"/>
  <c r="CP114" i="1"/>
  <c r="O114" i="1" s="1"/>
  <c r="J241" i="5"/>
  <c r="P241" i="5" s="1"/>
  <c r="G283" i="5"/>
  <c r="O283" i="5" s="1"/>
  <c r="X283" i="5"/>
  <c r="W160" i="5"/>
  <c r="G55" i="5"/>
  <c r="O55" i="5" s="1"/>
  <c r="G357" i="5" s="1"/>
  <c r="L357" i="5"/>
  <c r="CZ44" i="1"/>
  <c r="Y44" i="1" s="1"/>
  <c r="V104" i="5" s="1"/>
  <c r="K98" i="5" s="1"/>
  <c r="CY44" i="1"/>
  <c r="X44" i="1" s="1"/>
  <c r="X272" i="5"/>
  <c r="G272" i="5"/>
  <c r="O272" i="5" s="1"/>
  <c r="K118" i="5"/>
  <c r="J124" i="5" s="1"/>
  <c r="P124" i="5" s="1"/>
  <c r="CP48" i="1"/>
  <c r="O48" i="1" s="1"/>
  <c r="G106" i="5"/>
  <c r="O106" i="5" s="1"/>
  <c r="W77" i="5"/>
  <c r="CP116" i="1"/>
  <c r="O116" i="1" s="1"/>
  <c r="GM116" i="1" s="1"/>
  <c r="GO115" i="1"/>
  <c r="T271" i="5"/>
  <c r="K268" i="5" s="1"/>
  <c r="J272" i="5" s="1"/>
  <c r="P272" i="5" s="1"/>
  <c r="W45" i="5"/>
  <c r="G19" i="5" s="1"/>
  <c r="X294" i="5"/>
  <c r="AD72" i="1"/>
  <c r="AD26" i="1" s="1"/>
  <c r="AI72" i="1"/>
  <c r="AH72" i="1"/>
  <c r="GN58" i="1"/>
  <c r="T158" i="5"/>
  <c r="K155" i="5" s="1"/>
  <c r="J160" i="5" s="1"/>
  <c r="P160" i="5" s="1"/>
  <c r="AH131" i="1"/>
  <c r="GN33" i="1"/>
  <c r="T66" i="5"/>
  <c r="K168" i="5"/>
  <c r="CP38" i="1"/>
  <c r="O38" i="1" s="1"/>
  <c r="K89" i="5" s="1"/>
  <c r="GN66" i="1"/>
  <c r="G305" i="5"/>
  <c r="O305" i="5" s="1"/>
  <c r="K200" i="5"/>
  <c r="J55" i="5"/>
  <c r="P55" i="5" s="1"/>
  <c r="G148" i="5"/>
  <c r="O148" i="5" s="1"/>
  <c r="W148" i="5"/>
  <c r="W204" i="5"/>
  <c r="X332" i="5"/>
  <c r="K201" i="5"/>
  <c r="J204" i="5" s="1"/>
  <c r="P204" i="5" s="1"/>
  <c r="CP60" i="1"/>
  <c r="O60" i="1" s="1"/>
  <c r="K164" i="5"/>
  <c r="G315" i="5"/>
  <c r="O315" i="5" s="1"/>
  <c r="CP112" i="1"/>
  <c r="O112" i="1" s="1"/>
  <c r="W184" i="5"/>
  <c r="J115" i="5"/>
  <c r="P115" i="5" s="1"/>
  <c r="CP124" i="1"/>
  <c r="O124" i="1" s="1"/>
  <c r="G67" i="5"/>
  <c r="O67" i="5" s="1"/>
  <c r="W172" i="5"/>
  <c r="G172" i="5"/>
  <c r="O172" i="5" s="1"/>
  <c r="G160" i="5"/>
  <c r="O160" i="5" s="1"/>
  <c r="GM52" i="1"/>
  <c r="GO116" i="1"/>
  <c r="V273" i="5"/>
  <c r="CP119" i="1"/>
  <c r="O119" i="1" s="1"/>
  <c r="K293" i="5" s="1"/>
  <c r="CP34" i="1"/>
  <c r="O34" i="1" s="1"/>
  <c r="GM33" i="1"/>
  <c r="V66" i="5"/>
  <c r="GN53" i="1"/>
  <c r="GO125" i="1"/>
  <c r="T323" i="5"/>
  <c r="K320" i="5" s="1"/>
  <c r="J324" i="5" s="1"/>
  <c r="P324" i="5" s="1"/>
  <c r="GM60" i="1"/>
  <c r="T161" i="5"/>
  <c r="CY119" i="1"/>
  <c r="X119" i="1" s="1"/>
  <c r="T293" i="5" s="1"/>
  <c r="K290" i="5" s="1"/>
  <c r="J294" i="5" s="1"/>
  <c r="P294" i="5" s="1"/>
  <c r="J342" i="5"/>
  <c r="P342" i="5" s="1"/>
  <c r="X241" i="5"/>
  <c r="X261" i="5"/>
  <c r="G261" i="5"/>
  <c r="O261" i="5" s="1"/>
  <c r="G343" i="5" s="1"/>
  <c r="K312" i="5"/>
  <c r="K247" i="5"/>
  <c r="CP63" i="1"/>
  <c r="O63" i="1" s="1"/>
  <c r="GN63" i="1" s="1"/>
  <c r="K176" i="5"/>
  <c r="J184" i="5" s="1"/>
  <c r="P184" i="5" s="1"/>
  <c r="CP118" i="1"/>
  <c r="O118" i="1" s="1"/>
  <c r="AJ103" i="1"/>
  <c r="W131" i="1"/>
  <c r="CJ103" i="1"/>
  <c r="BA131" i="1"/>
  <c r="AP22" i="1"/>
  <c r="F206" i="1"/>
  <c r="AP229" i="1"/>
  <c r="GM45" i="1"/>
  <c r="GN45" i="1"/>
  <c r="Q72" i="1"/>
  <c r="AI26" i="1"/>
  <c r="V72" i="1"/>
  <c r="AH26" i="1"/>
  <c r="U72" i="1"/>
  <c r="AH103" i="1"/>
  <c r="U131" i="1"/>
  <c r="AG26" i="1"/>
  <c r="T72" i="1"/>
  <c r="GN36" i="1"/>
  <c r="GM36" i="1"/>
  <c r="GO128" i="1"/>
  <c r="CG103" i="1"/>
  <c r="AX131" i="1"/>
  <c r="CY32" i="1"/>
  <c r="X32" i="1" s="1"/>
  <c r="CZ32" i="1"/>
  <c r="Y32" i="1" s="1"/>
  <c r="CZ54" i="1"/>
  <c r="Y54" i="1" s="1"/>
  <c r="V145" i="5" s="1"/>
  <c r="K143" i="5" s="1"/>
  <c r="CY54" i="1"/>
  <c r="X54" i="1" s="1"/>
  <c r="T145" i="5" s="1"/>
  <c r="K142" i="5" s="1"/>
  <c r="CJ26" i="1"/>
  <c r="BA72" i="1"/>
  <c r="AJ26" i="1"/>
  <c r="W72" i="1"/>
  <c r="BA162" i="1"/>
  <c r="F188" i="1"/>
  <c r="AO22" i="1"/>
  <c r="F201" i="1"/>
  <c r="AO229" i="1"/>
  <c r="CI103" i="1"/>
  <c r="AZ131" i="1"/>
  <c r="AQ103" i="1"/>
  <c r="F141" i="1"/>
  <c r="AI103" i="1"/>
  <c r="V131" i="1"/>
  <c r="AG103" i="1"/>
  <c r="T131" i="1"/>
  <c r="AF72" i="1"/>
  <c r="GN29" i="1"/>
  <c r="GM29" i="1"/>
  <c r="CP54" i="1"/>
  <c r="O54" i="1" s="1"/>
  <c r="K145" i="5" s="1"/>
  <c r="F175" i="1"/>
  <c r="AX162" i="1"/>
  <c r="GM105" i="1"/>
  <c r="GN105" i="1"/>
  <c r="CB131" i="1" s="1"/>
  <c r="BB22" i="1"/>
  <c r="F210" i="1"/>
  <c r="BB229" i="1"/>
  <c r="GM37" i="1"/>
  <c r="GN37" i="1"/>
  <c r="BC22" i="1"/>
  <c r="F213" i="1"/>
  <c r="BC229" i="1"/>
  <c r="GM109" i="1"/>
  <c r="CP117" i="1"/>
  <c r="O117" i="1" s="1"/>
  <c r="K282" i="5" s="1"/>
  <c r="GM111" i="1"/>
  <c r="GM125" i="1"/>
  <c r="AD131" i="1"/>
  <c r="AC162" i="1"/>
  <c r="P168" i="1"/>
  <c r="CF168" i="1"/>
  <c r="CE168" i="1"/>
  <c r="CH168" i="1"/>
  <c r="AX26" i="1"/>
  <c r="F79" i="1"/>
  <c r="AX197" i="1"/>
  <c r="AU26" i="1"/>
  <c r="F91" i="1"/>
  <c r="AU197" i="1"/>
  <c r="GN34" i="1"/>
  <c r="GM34" i="1"/>
  <c r="CP61" i="1"/>
  <c r="O61" i="1" s="1"/>
  <c r="K170" i="5" s="1"/>
  <c r="S162" i="1"/>
  <c r="F183" i="1"/>
  <c r="R162" i="1"/>
  <c r="F182" i="1"/>
  <c r="AZ26" i="1"/>
  <c r="F83" i="1"/>
  <c r="AU103" i="1"/>
  <c r="F150" i="1"/>
  <c r="CY117" i="1"/>
  <c r="X117" i="1" s="1"/>
  <c r="T282" i="5" s="1"/>
  <c r="CZ117" i="1"/>
  <c r="Y117" i="1" s="1"/>
  <c r="V282" i="5" s="1"/>
  <c r="AQ197" i="1"/>
  <c r="GM68" i="1"/>
  <c r="GN68" i="1"/>
  <c r="GM55" i="1"/>
  <c r="GN55" i="1"/>
  <c r="GM115" i="1"/>
  <c r="GM164" i="1"/>
  <c r="CA168" i="1" s="1"/>
  <c r="AB168" i="1"/>
  <c r="GN164" i="1"/>
  <c r="CB168" i="1" s="1"/>
  <c r="Y162" i="1"/>
  <c r="F194" i="1"/>
  <c r="CP62" i="1"/>
  <c r="O62" i="1" s="1"/>
  <c r="K171" i="5" s="1"/>
  <c r="X162" i="1"/>
  <c r="F193" i="1"/>
  <c r="GN56" i="1"/>
  <c r="GN30" i="1"/>
  <c r="GM30" i="1"/>
  <c r="CZ119" i="1"/>
  <c r="Y119" i="1" s="1"/>
  <c r="V293" i="5" s="1"/>
  <c r="K291" i="5" s="1"/>
  <c r="GM59" i="1"/>
  <c r="GM50" i="1"/>
  <c r="GN60" i="1"/>
  <c r="AP103" i="1"/>
  <c r="F140" i="1"/>
  <c r="GO106" i="1"/>
  <c r="GM106" i="1"/>
  <c r="GK117" i="1"/>
  <c r="AE131" i="1"/>
  <c r="CZ62" i="1"/>
  <c r="Y62" i="1" s="1"/>
  <c r="V171" i="5" s="1"/>
  <c r="CY62" i="1"/>
  <c r="X62" i="1" s="1"/>
  <c r="T171" i="5" s="1"/>
  <c r="GM67" i="1"/>
  <c r="GN67" i="1"/>
  <c r="GO123" i="1"/>
  <c r="GM123" i="1"/>
  <c r="CZ121" i="1"/>
  <c r="Y121" i="1" s="1"/>
  <c r="V304" i="5" s="1"/>
  <c r="K302" i="5" s="1"/>
  <c r="CY121" i="1"/>
  <c r="X121" i="1" s="1"/>
  <c r="GM31" i="1"/>
  <c r="GN31" i="1"/>
  <c r="AC26" i="1"/>
  <c r="P72" i="1"/>
  <c r="CF72" i="1"/>
  <c r="CH72" i="1"/>
  <c r="CE72" i="1"/>
  <c r="GO120" i="1"/>
  <c r="GM120" i="1"/>
  <c r="CP32" i="1"/>
  <c r="O32" i="1" s="1"/>
  <c r="K65" i="5" s="1"/>
  <c r="AZ162" i="1"/>
  <c r="F179" i="1"/>
  <c r="AC103" i="1"/>
  <c r="CH131" i="1"/>
  <c r="P131" i="1"/>
  <c r="CF131" i="1"/>
  <c r="CE131" i="1"/>
  <c r="GM119" i="1"/>
  <c r="GN69" i="1"/>
  <c r="GM69" i="1"/>
  <c r="GM57" i="1"/>
  <c r="GN57" i="1"/>
  <c r="CY61" i="1"/>
  <c r="X61" i="1" s="1"/>
  <c r="T170" i="5" s="1"/>
  <c r="CZ61" i="1"/>
  <c r="Y61" i="1" s="1"/>
  <c r="V170" i="5" s="1"/>
  <c r="CY38" i="1"/>
  <c r="X38" i="1" s="1"/>
  <c r="CZ38" i="1"/>
  <c r="Y38" i="1" s="1"/>
  <c r="V89" i="5" s="1"/>
  <c r="K85" i="5" s="1"/>
  <c r="AE72" i="1"/>
  <c r="AF131" i="1"/>
  <c r="J148" i="5" l="1"/>
  <c r="P148" i="5" s="1"/>
  <c r="GO112" i="1"/>
  <c r="GM112" i="1"/>
  <c r="GN38" i="1"/>
  <c r="T89" i="5"/>
  <c r="K84" i="5" s="1"/>
  <c r="J90" i="5" s="1"/>
  <c r="P90" i="5" s="1"/>
  <c r="GO119" i="1"/>
  <c r="AB72" i="1"/>
  <c r="AL131" i="1"/>
  <c r="AL103" i="1" s="1"/>
  <c r="G16" i="2"/>
  <c r="G18" i="2" s="1"/>
  <c r="I21" i="5"/>
  <c r="G18" i="5"/>
  <c r="K167" i="5"/>
  <c r="J172" i="5"/>
  <c r="P172" i="5" s="1"/>
  <c r="K279" i="5"/>
  <c r="G205" i="5"/>
  <c r="AK72" i="1"/>
  <c r="T65" i="5"/>
  <c r="K62" i="5" s="1"/>
  <c r="J67" i="5" s="1"/>
  <c r="P67" i="5" s="1"/>
  <c r="GM114" i="1"/>
  <c r="GO114" i="1"/>
  <c r="GM121" i="1"/>
  <c r="T304" i="5"/>
  <c r="K301" i="5" s="1"/>
  <c r="J305" i="5" s="1"/>
  <c r="P305" i="5" s="1"/>
  <c r="AL72" i="1"/>
  <c r="AL26" i="1" s="1"/>
  <c r="V65" i="5"/>
  <c r="K63" i="5" s="1"/>
  <c r="GO118" i="1"/>
  <c r="GM118" i="1"/>
  <c r="K280" i="5"/>
  <c r="GM124" i="1"/>
  <c r="GO124" i="1"/>
  <c r="GM48" i="1"/>
  <c r="GN48" i="1"/>
  <c r="T104" i="5"/>
  <c r="K97" i="5" s="1"/>
  <c r="J106" i="5" s="1"/>
  <c r="P106" i="5" s="1"/>
  <c r="GM44" i="1"/>
  <c r="GN44" i="1"/>
  <c r="GO111" i="1"/>
  <c r="CC131" i="1" s="1"/>
  <c r="T249" i="5"/>
  <c r="K246" i="5" s="1"/>
  <c r="J250" i="5" s="1"/>
  <c r="P250" i="5" s="1"/>
  <c r="AK26" i="1"/>
  <c r="X72" i="1"/>
  <c r="AF103" i="1"/>
  <c r="S131" i="1"/>
  <c r="CF103" i="1"/>
  <c r="AW131" i="1"/>
  <c r="P26" i="1"/>
  <c r="F75" i="1"/>
  <c r="P197" i="1"/>
  <c r="CH103" i="1"/>
  <c r="AY131" i="1"/>
  <c r="CH26" i="1"/>
  <c r="AY72" i="1"/>
  <c r="CE103" i="1"/>
  <c r="AV131" i="1"/>
  <c r="CF26" i="1"/>
  <c r="AW72" i="1"/>
  <c r="CA162" i="1"/>
  <c r="AR168" i="1"/>
  <c r="AK131" i="1"/>
  <c r="AX22" i="1"/>
  <c r="AX229" i="1"/>
  <c r="F204" i="1"/>
  <c r="CE162" i="1"/>
  <c r="AV168" i="1"/>
  <c r="Q131" i="1"/>
  <c r="AD103" i="1"/>
  <c r="GO117" i="1"/>
  <c r="GM117" i="1"/>
  <c r="CA131" i="1" s="1"/>
  <c r="W26" i="1"/>
  <c r="F96" i="1"/>
  <c r="W197" i="1"/>
  <c r="F138" i="1"/>
  <c r="AX103" i="1"/>
  <c r="BA103" i="1"/>
  <c r="F151" i="1"/>
  <c r="AB26" i="1"/>
  <c r="O72" i="1"/>
  <c r="AZ103" i="1"/>
  <c r="F142" i="1"/>
  <c r="Y131" i="1"/>
  <c r="T26" i="1"/>
  <c r="F93" i="1"/>
  <c r="T197" i="1"/>
  <c r="U26" i="1"/>
  <c r="F94" i="1"/>
  <c r="U197" i="1"/>
  <c r="Q26" i="1"/>
  <c r="F84" i="1"/>
  <c r="Q197" i="1"/>
  <c r="AP18" i="1"/>
  <c r="F238" i="1"/>
  <c r="AE26" i="1"/>
  <c r="R72" i="1"/>
  <c r="GM38" i="1"/>
  <c r="P103" i="1"/>
  <c r="F134" i="1"/>
  <c r="CE26" i="1"/>
  <c r="AV72" i="1"/>
  <c r="GO121" i="1"/>
  <c r="CB162" i="1"/>
  <c r="AS168" i="1"/>
  <c r="AQ22" i="1"/>
  <c r="F207" i="1"/>
  <c r="AQ229" i="1"/>
  <c r="GN61" i="1"/>
  <c r="GM61" i="1"/>
  <c r="P162" i="1"/>
  <c r="F171" i="1"/>
  <c r="BC18" i="1"/>
  <c r="F245" i="1"/>
  <c r="AB131" i="1"/>
  <c r="AF26" i="1"/>
  <c r="S72" i="1"/>
  <c r="BA26" i="1"/>
  <c r="F92" i="1"/>
  <c r="BA197" i="1"/>
  <c r="W103" i="1"/>
  <c r="F155" i="1"/>
  <c r="AU22" i="1"/>
  <c r="F216" i="1"/>
  <c r="AU229" i="1"/>
  <c r="CF162" i="1"/>
  <c r="AW168" i="1"/>
  <c r="V103" i="1"/>
  <c r="F154" i="1"/>
  <c r="GN32" i="1"/>
  <c r="GM32" i="1"/>
  <c r="AE103" i="1"/>
  <c r="R131" i="1"/>
  <c r="GN62" i="1"/>
  <c r="GM62" i="1"/>
  <c r="AB162" i="1"/>
  <c r="O168" i="1"/>
  <c r="AZ197" i="1"/>
  <c r="CH162" i="1"/>
  <c r="AY168" i="1"/>
  <c r="BB18" i="1"/>
  <c r="F242" i="1"/>
  <c r="CB103" i="1"/>
  <c r="AS131" i="1"/>
  <c r="GN54" i="1"/>
  <c r="GM54" i="1"/>
  <c r="T103" i="1"/>
  <c r="F152" i="1"/>
  <c r="AO18" i="1"/>
  <c r="F233" i="1"/>
  <c r="U103" i="1"/>
  <c r="F153" i="1"/>
  <c r="V26" i="1"/>
  <c r="F95" i="1"/>
  <c r="V197" i="1"/>
  <c r="J357" i="5" l="1"/>
  <c r="J205" i="5"/>
  <c r="J283" i="5"/>
  <c r="P283" i="5" s="1"/>
  <c r="J343" i="5" s="1"/>
  <c r="CA72" i="1"/>
  <c r="AR72" i="1" s="1"/>
  <c r="CB72" i="1"/>
  <c r="Y72" i="1"/>
  <c r="F98" i="1" s="1"/>
  <c r="CA26" i="1"/>
  <c r="CA103" i="1"/>
  <c r="AR131" i="1"/>
  <c r="CB26" i="1"/>
  <c r="AS72" i="1"/>
  <c r="O162" i="1"/>
  <c r="F170" i="1"/>
  <c r="R103" i="1"/>
  <c r="F145" i="1"/>
  <c r="AU18" i="1"/>
  <c r="F248" i="1"/>
  <c r="S26" i="1"/>
  <c r="F87" i="1"/>
  <c r="S197" i="1"/>
  <c r="AS162" i="1"/>
  <c r="F185" i="1"/>
  <c r="AV26" i="1"/>
  <c r="F77" i="1"/>
  <c r="AV197" i="1"/>
  <c r="U22" i="1"/>
  <c r="F219" i="1"/>
  <c r="U229" i="1"/>
  <c r="W22" i="1"/>
  <c r="F221" i="1"/>
  <c r="W229" i="1"/>
  <c r="AV162" i="1"/>
  <c r="F173" i="1"/>
  <c r="AW26" i="1"/>
  <c r="F78" i="1"/>
  <c r="AW197" i="1"/>
  <c r="AY26" i="1"/>
  <c r="F80" i="1"/>
  <c r="AY197" i="1"/>
  <c r="P22" i="1"/>
  <c r="F200" i="1"/>
  <c r="P229" i="1"/>
  <c r="AS103" i="1"/>
  <c r="F148" i="1"/>
  <c r="AY162" i="1"/>
  <c r="F176" i="1"/>
  <c r="BA22" i="1"/>
  <c r="BA229" i="1"/>
  <c r="F217" i="1"/>
  <c r="H16" i="2" s="1"/>
  <c r="H18" i="2" s="1"/>
  <c r="AQ18" i="1"/>
  <c r="F239" i="1"/>
  <c r="R26" i="1"/>
  <c r="F86" i="1"/>
  <c r="R197" i="1"/>
  <c r="Q22" i="1"/>
  <c r="Q229" i="1"/>
  <c r="F209" i="1"/>
  <c r="AK103" i="1"/>
  <c r="X131" i="1"/>
  <c r="X197" i="1" s="1"/>
  <c r="S103" i="1"/>
  <c r="F146" i="1"/>
  <c r="V22" i="1"/>
  <c r="F220" i="1"/>
  <c r="V229" i="1"/>
  <c r="AW162" i="1"/>
  <c r="F174" i="1"/>
  <c r="AB103" i="1"/>
  <c r="O131" i="1"/>
  <c r="CC103" i="1"/>
  <c r="AT131" i="1"/>
  <c r="O26" i="1"/>
  <c r="F74" i="1"/>
  <c r="AR162" i="1"/>
  <c r="F195" i="1"/>
  <c r="AV103" i="1"/>
  <c r="F136" i="1"/>
  <c r="AY103" i="1"/>
  <c r="F139" i="1"/>
  <c r="Y26" i="1"/>
  <c r="AZ22" i="1"/>
  <c r="AZ229" i="1"/>
  <c r="F208" i="1"/>
  <c r="T22" i="1"/>
  <c r="F218" i="1"/>
  <c r="T229" i="1"/>
  <c r="Y103" i="1"/>
  <c r="F157" i="1"/>
  <c r="Q103" i="1"/>
  <c r="F143" i="1"/>
  <c r="AX18" i="1"/>
  <c r="F236" i="1"/>
  <c r="AW103" i="1"/>
  <c r="F137" i="1"/>
  <c r="X26" i="1"/>
  <c r="F97" i="1"/>
  <c r="Y197" i="1" l="1"/>
  <c r="I22" i="5"/>
  <c r="I23" i="5"/>
  <c r="G23" i="5" s="1"/>
  <c r="AT103" i="1"/>
  <c r="F149" i="1"/>
  <c r="AT197" i="1"/>
  <c r="R22" i="1"/>
  <c r="F211" i="1"/>
  <c r="R229" i="1"/>
  <c r="AS26" i="1"/>
  <c r="F89" i="1"/>
  <c r="AS197" i="1"/>
  <c r="T18" i="1"/>
  <c r="F250" i="1"/>
  <c r="AZ18" i="1"/>
  <c r="F240" i="1"/>
  <c r="O103" i="1"/>
  <c r="F133" i="1"/>
  <c r="V18" i="1"/>
  <c r="F252" i="1"/>
  <c r="Q18" i="1"/>
  <c r="F241" i="1"/>
  <c r="BA18" i="1"/>
  <c r="F249" i="1"/>
  <c r="AV22" i="1"/>
  <c r="AV229" i="1"/>
  <c r="F202" i="1"/>
  <c r="AR103" i="1"/>
  <c r="F158" i="1"/>
  <c r="W18" i="1"/>
  <c r="F253" i="1"/>
  <c r="X22" i="1"/>
  <c r="F222" i="1"/>
  <c r="X229" i="1"/>
  <c r="X103" i="1"/>
  <c r="F156" i="1"/>
  <c r="AW22" i="1"/>
  <c r="F203" i="1"/>
  <c r="AW229" i="1"/>
  <c r="U18" i="1"/>
  <c r="F251" i="1"/>
  <c r="S22" i="1"/>
  <c r="S229" i="1"/>
  <c r="F212" i="1"/>
  <c r="Y22" i="1"/>
  <c r="F223" i="1"/>
  <c r="Y229" i="1"/>
  <c r="AY22" i="1"/>
  <c r="AY229" i="1"/>
  <c r="F205" i="1"/>
  <c r="AR26" i="1"/>
  <c r="F99" i="1"/>
  <c r="AR197" i="1"/>
  <c r="O197" i="1"/>
  <c r="P18" i="1"/>
  <c r="F232" i="1"/>
  <c r="J16" i="2" l="1"/>
  <c r="J18" i="2" s="1"/>
  <c r="I24" i="5"/>
  <c r="X18" i="1"/>
  <c r="F254" i="1"/>
  <c r="Y18" i="1"/>
  <c r="F255" i="1"/>
  <c r="S18" i="1"/>
  <c r="F244" i="1"/>
  <c r="AW18" i="1"/>
  <c r="F235" i="1"/>
  <c r="O22" i="1"/>
  <c r="F199" i="1"/>
  <c r="O229" i="1"/>
  <c r="AT22" i="1"/>
  <c r="F215" i="1"/>
  <c r="AT229" i="1"/>
  <c r="AR22" i="1"/>
  <c r="AR229" i="1"/>
  <c r="F224" i="1"/>
  <c r="F225" i="1" s="1"/>
  <c r="J358" i="5" s="1"/>
  <c r="AY18" i="1"/>
  <c r="F237" i="1"/>
  <c r="R18" i="1"/>
  <c r="F243" i="1"/>
  <c r="AV18" i="1"/>
  <c r="F234" i="1"/>
  <c r="AS22" i="1"/>
  <c r="AS229" i="1"/>
  <c r="F214" i="1"/>
  <c r="E16" i="2" l="1"/>
  <c r="I19" i="5"/>
  <c r="F16" i="2"/>
  <c r="F18" i="2" s="1"/>
  <c r="I20" i="5"/>
  <c r="AS18" i="1"/>
  <c r="F246" i="1"/>
  <c r="AR18" i="1"/>
  <c r="F256" i="1"/>
  <c r="F226" i="1"/>
  <c r="J359" i="5" s="1"/>
  <c r="O18" i="1"/>
  <c r="F231" i="1"/>
  <c r="E18" i="2"/>
  <c r="AT18" i="1"/>
  <c r="F247" i="1"/>
  <c r="I16" i="2" l="1"/>
  <c r="I18" i="2" s="1"/>
  <c r="F227" i="1"/>
  <c r="J360" i="5" l="1"/>
  <c r="I18" i="5"/>
</calcChain>
</file>

<file path=xl/sharedStrings.xml><?xml version="1.0" encoding="utf-8"?>
<sst xmlns="http://schemas.openxmlformats.org/spreadsheetml/2006/main" count="6282" uniqueCount="699">
  <si>
    <t>Smeta.RU  (495) 974-1589</t>
  </si>
  <si>
    <t>_PS_</t>
  </si>
  <si>
    <t>Smeta.RU</t>
  </si>
  <si>
    <t/>
  </si>
  <si>
    <t>Новый объект</t>
  </si>
  <si>
    <t>ремонт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</si>
  <si>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</si>
  <si>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</si>
  <si>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</si>
  <si>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</si>
  <si>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</si>
  <si>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</si>
  <si>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</si>
  <si>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</si>
  <si>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</si>
  <si>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57-3-1</t>
  </si>
  <si>
    <t>Разборка плинтусов деревянных и из пластмассовых материалов</t>
  </si>
  <si>
    <t>100 м</t>
  </si>
  <si>
    <t>ФЕРр-2001,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</si>
  <si>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</si>
  <si>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</si>
  <si>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</si>
  <si>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</si>
  <si>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</si>
  <si>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 и релина</t>
  </si>
  <si>
    <t>100 м2</t>
  </si>
  <si>
    <t>ФЕРр-2001, 57-2-1, приказ Минстроя России №1039/пр от 30.12.2016г.</t>
  </si>
  <si>
    <t>3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</si>
  <si>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</si>
  <si>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</si>
  <si>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</si>
  <si>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Поправка: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</t>
  </si>
  <si>
    <t>)*1,25</t>
  </si>
  <si>
    <t>)*1,15</t>
  </si>
  <si>
    <t>Общестроительные работы</t>
  </si>
  <si>
    <t>Отделочные работы</t>
  </si>
  <si>
    <t>ФЕР-15</t>
  </si>
  <si>
    <t>Поправка: п.8.7.1</t>
  </si>
  <si>
    <t>*0,9</t>
  </si>
  <si>
    <t>*0,85</t>
  </si>
  <si>
    <t>4</t>
  </si>
  <si>
    <t>65-33-1</t>
  </si>
  <si>
    <t>Смена жалюзийных решеток</t>
  </si>
  <si>
    <t>100 ШТ</t>
  </si>
  <si>
    <t>ФЕРр-2001, 65-33-1, приказ Минстроя России №1039/пр от 30.12.2016г.</t>
  </si>
  <si>
    <t>Внтуренниие с/техработы: смена труб</t>
  </si>
  <si>
    <t>рФЕР-65</t>
  </si>
  <si>
    <t>4,1</t>
  </si>
  <si>
    <t>19.2.03.07-0006</t>
  </si>
  <si>
    <t>Решетка вентиляционная пластмассовая размером 300х900 мм прим.</t>
  </si>
  <si>
    <t>шт.</t>
  </si>
  <si>
    <t>ФССЦ-2001, 19.2.03.07-0006, приказ Минстроя России №1039/пр от 30.12.2016г.</t>
  </si>
  <si>
    <t>4,2</t>
  </si>
  <si>
    <t>19.2.03.09</t>
  </si>
  <si>
    <t>Решетки жалюзийные</t>
  </si>
  <si>
    <t>5</t>
  </si>
  <si>
    <t>57-11-6</t>
  </si>
  <si>
    <t>Устройство оснований под покрытие пола из древесно-стружечных плит площадью свыше 20 м2</t>
  </si>
  <si>
    <t>ФЕРр-2001, 57-11-6, приказ Минстроя России №1039/пр от 30.12.2016г.</t>
  </si>
  <si>
    <t>6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</si>
  <si>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</si>
  <si>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</si>
  <si>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</si>
  <si>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ФЕР-11</t>
  </si>
  <si>
    <t>6,1</t>
  </si>
  <si>
    <t>01.6.03.04-0116</t>
  </si>
  <si>
    <t>Линолеум коммерческий гомогенный "ТАРКЕТТ Sprint Pro", антискользящий (толщина 2 мм, класс 32, пож. безопасность Г4, В3, РП1, Д2, Т2) прим.</t>
  </si>
  <si>
    <t>м2</t>
  </si>
  <si>
    <t>ФССЦ-2001, 01.6.03.04-0116, приказ Минстроя России №1039/пр от 30.12.2016г.</t>
  </si>
  <si>
    <t>6,2</t>
  </si>
  <si>
    <t>14.1.02.03-0001</t>
  </si>
  <si>
    <t>Клей КН-2 прим.</t>
  </si>
  <si>
    <t>т</t>
  </si>
  <si>
    <t>ФССЦ-2001, 14.1.02.03-0001, приказ Минстроя России №1039/пр от 30.12.2016г.</t>
  </si>
  <si>
    <t>6,3</t>
  </si>
  <si>
    <t>14.1.06.05</t>
  </si>
  <si>
    <t>Состав клеящий</t>
  </si>
  <si>
    <t>кг</t>
  </si>
  <si>
    <t>7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</si>
  <si>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</si>
  <si>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</si>
  <si>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</si>
  <si>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7,1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</si>
  <si>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</si>
  <si>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</si>
  <si>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</si>
  <si>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</si>
  <si>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7,2</t>
  </si>
  <si>
    <t>11.3.03.14-0034</t>
  </si>
  <si>
    <t>Уголок наружный для пластикового плинтуса, высота 49 мм</t>
  </si>
  <si>
    <t>100 шт.</t>
  </si>
  <si>
    <t>ФССЦ-2001, 11.3.03.14-0034, приказ Минстроя России №1039/пр от 30.12.2016г.</t>
  </si>
  <si>
    <t>7,3</t>
  </si>
  <si>
    <t>11.3.03.14-0032</t>
  </si>
  <si>
    <t>Уголок внутренний для пластикового плинтуса, высота 49 мм</t>
  </si>
  <si>
    <t>ФССЦ-2001, 11.3.03.14-0032, приказ Минстроя России №1039/пр от 30.12.2016г.</t>
  </si>
  <si>
    <t>7,4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</si>
  <si>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</si>
  <si>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</si>
  <si>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</si>
  <si>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7,5</t>
  </si>
  <si>
    <t>11.3.03.14-0002</t>
  </si>
  <si>
    <t>Заглушка торцевая для пластикового плинтуса левая, высота 49 мм</t>
  </si>
  <si>
    <t>ФССЦ-2001, 11.3.03.14-0002, приказ Минстроя России №1039/пр от 30.12.2016г.</t>
  </si>
  <si>
    <t>7,6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</si>
  <si>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</si>
  <si>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</si>
  <si>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</si>
  <si>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8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</si>
  <si>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</si>
  <si>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</si>
  <si>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</si>
  <si>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8,1</t>
  </si>
  <si>
    <t>09.2.03.02-0022</t>
  </si>
  <si>
    <t>Профили стыкоперекрывающие из алюминиевых сплавов (порожки) с покрытием, шириной 60 мм</t>
  </si>
  <si>
    <t>ФССЦ-2001, 09.2.03.02-0022, приказ Минстроя России №1039/пр от 30.12.2016г.</t>
  </si>
  <si>
    <t>9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</si>
  <si>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</si>
  <si>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</si>
  <si>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м3</t>
  </si>
  <si>
    <t>ФЕР-2001, 46-02-007-01, приказ Минстроя России №1039/пр от 30.12.2016г.</t>
  </si>
  <si>
    <t>Реконструкция зданий и сооружений</t>
  </si>
  <si>
    <t>ФЕР-46</t>
  </si>
  <si>
    <t>9,1</t>
  </si>
  <si>
    <t>06.1.01.09-0002</t>
  </si>
  <si>
    <t>Кирпич силикатный</t>
  </si>
  <si>
    <t>ФССЦ-2001, 06.1.01.09-0002, приказ Минстроя России №1039/пр от 30.12.2016г.</t>
  </si>
  <si>
    <t>10</t>
  </si>
  <si>
    <t>46-03-017-05 прим.</t>
  </si>
  <si>
    <t>Заделка отверстий, гнезд и борозд в стенах и перегородках бетонных площадью до 0,1 м2</t>
  </si>
  <si>
    <t>ФЕР-2001, 46-03-017-05, приказ Минстроя России №1039/пр от 30.12.2016г.</t>
  </si>
  <si>
    <t>10,1</t>
  </si>
  <si>
    <t>04.3.01.09-0015</t>
  </si>
  <si>
    <t>Раствор готовый кладочный цементный марки 150</t>
  </si>
  <si>
    <t>ФССЦ-2001, 04.3.01.09-0015, приказ Минстроя России №1039/пр от 30.12.2016г.</t>
  </si>
  <si>
    <t>10,2</t>
  </si>
  <si>
    <t>04.1.02.06</t>
  </si>
  <si>
    <t>Бетонные смеси готовые к употреблению</t>
  </si>
  <si>
    <t>11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</si>
  <si>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</si>
  <si>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</si>
  <si>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</si>
  <si>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11,1</t>
  </si>
  <si>
    <t>04.3.02.05-0002</t>
  </si>
  <si>
    <t>Смесь штукатурная «Ротбанд», КНАУФ</t>
  </si>
  <si>
    <t>ФССЦ-2001, 04.3.02.05-0002, приказ Минстроя России №1039/пр от 30.12.2016г.</t>
  </si>
  <si>
    <t>11,2</t>
  </si>
  <si>
    <t>04.3.02.09</t>
  </si>
  <si>
    <t>Смеси на цементной основе</t>
  </si>
  <si>
    <t>11,3</t>
  </si>
  <si>
    <t>14.3.01.02-0101</t>
  </si>
  <si>
    <t>Грунтовка акриловая: ВД-АК-133</t>
  </si>
  <si>
    <t>ФССЦ-2001, 14.3.01.02-0101, приказ Минстроя России №1039/пр от 30.12.2016г.</t>
  </si>
  <si>
    <t>12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</si>
  <si>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</si>
  <si>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</si>
  <si>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</si>
  <si>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12,1</t>
  </si>
  <si>
    <t>12,2</t>
  </si>
  <si>
    <t>14.4.01.21</t>
  </si>
  <si>
    <t>Грунтовка</t>
  </si>
  <si>
    <t>13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</si>
  <si>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</si>
  <si>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</si>
  <si>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</si>
  <si>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13,1</t>
  </si>
  <si>
    <t>01.6.02.02-0002</t>
  </si>
  <si>
    <t>Стеклообои TASSOGLAS, елочка</t>
  </si>
  <si>
    <t>10 м2</t>
  </si>
  <si>
    <t>ФССЦ-2001, 01.6.02.02-0002, приказ Минстроя России №1039/пр от 30.12.2016г.</t>
  </si>
  <si>
    <t>13,2</t>
  </si>
  <si>
    <t>01.6.02.01</t>
  </si>
  <si>
    <t>Обои</t>
  </si>
  <si>
    <t>14</t>
  </si>
  <si>
    <t>15-04-005-05</t>
  </si>
  <si>
    <t>Окраска поливинилацетатными водоэмульсионными составами улучшенная по сборным конструкциям стен, подготовленным под окраску</t>
  </si>
  <si>
    <t>ФЕР-2001, 15-04-005-05, приказ Минстроя России №1039/пр от 30.12.2016г.</t>
  </si>
  <si>
    <t>14,1</t>
  </si>
  <si>
    <t>Цена поставщика</t>
  </si>
  <si>
    <t>Краска моющиеся акриловая "Олимп Гамма"</t>
  </si>
  <si>
    <t>[243,89 / 1,18 /  6,61]</t>
  </si>
  <si>
    <t>14,2</t>
  </si>
  <si>
    <t>14.3.02.01</t>
  </si>
  <si>
    <t>Краска водоэмульсионная</t>
  </si>
  <si>
    <t>15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</si>
  <si>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</si>
  <si>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</si>
  <si>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</si>
  <si>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15,1</t>
  </si>
  <si>
    <t>15,2</t>
  </si>
  <si>
    <t>14.4.02.09</t>
  </si>
  <si>
    <t>Краска</t>
  </si>
  <si>
    <t>16</t>
  </si>
  <si>
    <t>62-32-2</t>
  </si>
  <si>
    <t>Окраска масляными составами ранее окрашенных поверхностей труб стальных за 2 раза</t>
  </si>
  <si>
    <t>ФЕРр-2001, 62-32-2, приказ Минстроя России №1039/пр от 30.12.2016г.</t>
  </si>
  <si>
    <t>Малярные работы</t>
  </si>
  <si>
    <t>рФЕР-62</t>
  </si>
  <si>
    <t>16,1</t>
  </si>
  <si>
    <t>14.4.02.04</t>
  </si>
  <si>
    <t>Краски для внутренних работ масляные готовые к применению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</si>
  <si>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</si>
  <si>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</si>
  <si>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</si>
  <si>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</si>
  <si>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</si>
  <si>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</si>
  <si>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</si>
  <si>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</si>
  <si>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</si>
  <si>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</si>
  <si>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</si>
  <si>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</si>
  <si>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</si>
  <si>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</si>
  <si>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</si>
  <si>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</si>
  <si>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</si>
  <si>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</si>
  <si>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</si>
  <si>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</si>
  <si>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</si>
  <si>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</si>
  <si>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</si>
  <si>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</si>
  <si>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</si>
  <si>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</si>
  <si>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</si>
  <si>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</si>
  <si>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</si>
  <si>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</si>
  <si>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</si>
  <si>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</si>
  <si>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</si>
  <si>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</si>
  <si>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</si>
  <si>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</si>
  <si>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</si>
  <si>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</si>
  <si>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</si>
  <si>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</si>
  <si>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</si>
  <si>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</si>
  <si>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</si>
  <si>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</si>
  <si>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</si>
  <si>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</si>
  <si>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</si>
  <si>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</si>
  <si>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</si>
  <si>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</si>
  <si>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</si>
  <si>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</si>
  <si>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Система электроснабжения</t>
  </si>
  <si>
    <t>17</t>
  </si>
  <si>
    <t>67-4-5</t>
  </si>
  <si>
    <t>Демонтаж светильников для люминесцентных ламп</t>
  </si>
  <si>
    <t>ФЕРр-2001, 67-4-5, приказ Минстроя России №1039/пр от 30.12.2016г.</t>
  </si>
  <si>
    <t>Электромонтажные работы</t>
  </si>
  <si>
    <t>рФЕР-67</t>
  </si>
  <si>
    <t>18</t>
  </si>
  <si>
    <t>м08-02-370-02</t>
  </si>
  <si>
    <t>Демонтаж: Щиток до трех групп, устанавливаемый в нише цоколя (Электрощит на 12 модулей)</t>
  </si>
  <si>
    <t>ШТ</t>
  </si>
  <si>
    <t>ФЕРм-2001, м08-02-370-02,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</si>
  <si>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</si>
  <si>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</si>
  <si>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</si>
  <si>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</si>
  <si>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</si>
  <si>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</si>
  <si>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</si>
  <si>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19</t>
  </si>
  <si>
    <t>67-4-1</t>
  </si>
  <si>
    <t>Демонтаж выключателей, розеток</t>
  </si>
  <si>
    <t>ФЕРр-2001, 67-4-1, приказ Минстроя России №1039/пр от 30.12.2016г.</t>
  </si>
  <si>
    <t>20</t>
  </si>
  <si>
    <t>м08-03-593-19</t>
  </si>
  <si>
    <t>Светильник в подвесных потолках</t>
  </si>
  <si>
    <t>ФЕРм-2001, м08-03-593-19, приказ Минстроя России №1039/пр от 30.12.2016г.</t>
  </si>
  <si>
    <t>20,1</t>
  </si>
  <si>
    <t>20.3.03.04-0275</t>
  </si>
  <si>
    <t>Светильники  встраиваемые со светодиодными лампами 595х595х40мм 36Вт,3000 Лм,IP40,6500К прим.</t>
  </si>
  <si>
    <t>ФССЦ-2001, 20.3.03.04-0275, приказ Минстроя России №1039/пр от 30.12.2016г.</t>
  </si>
  <si>
    <t>21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</si>
  <si>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</si>
  <si>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</si>
  <si>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</si>
  <si>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21,1</t>
  </si>
  <si>
    <t>24.3.01.02-0022</t>
  </si>
  <si>
    <t>Трубы гибкие гофрированные легкие из самозатухающего ПВХ (IP55) серии FL, с зондом, диаметром 20 мм</t>
  </si>
  <si>
    <t>10 м</t>
  </si>
  <si>
    <t>ФССЦ-2001, 24.3.01.02-0022, приказ Минстроя России №1039/пр от 30.12.2016г.</t>
  </si>
  <si>
    <t>22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</si>
  <si>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</si>
  <si>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</si>
  <si>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</si>
  <si>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22,1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</si>
  <si>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</si>
  <si>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</si>
  <si>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</si>
  <si>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</si>
  <si>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</si>
  <si>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23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</si>
  <si>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</si>
  <si>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</si>
  <si>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</si>
  <si>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23,1</t>
  </si>
  <si>
    <t>20.2.05.04-0013</t>
  </si>
  <si>
    <t>Кабель-канал (короб) "Legrand" 40х20 мм</t>
  </si>
  <si>
    <t>ФССЦ-2001, 20.2.05.04-0013, приказ Минстроя России №1039/пр от 30.12.2016г.</t>
  </si>
  <si>
    <t>24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</si>
  <si>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</si>
  <si>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</si>
  <si>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</si>
  <si>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24,1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</si>
  <si>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</si>
  <si>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</si>
  <si>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</si>
  <si>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25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</si>
  <si>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</si>
  <si>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</si>
  <si>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</si>
  <si>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25,1</t>
  </si>
  <si>
    <t>20.4.03.05-0004</t>
  </si>
  <si>
    <t>Розетка открытой проводки с заземлением</t>
  </si>
  <si>
    <t>ФССЦ-2001, 20.4.03.05-0004, приказ Минстроя России №1039/пр от 30.12.2016г.</t>
  </si>
  <si>
    <t>26</t>
  </si>
  <si>
    <t>м08-03-591-01</t>
  </si>
  <si>
    <t>Выключатель одноклавишный неутопленного типа при открытой проводке</t>
  </si>
  <si>
    <t>ФЕРм-2001, м08-03-591-01, приказ Минстроя России №1039/пр от 30.12.2016г.</t>
  </si>
  <si>
    <t>26,1</t>
  </si>
  <si>
    <t>20.4.01.01-0042</t>
  </si>
  <si>
    <t>Выключатель одноклавишный для открытой проводки серии "Прима", марка А16-046 с подсветкой, цвет белый</t>
  </si>
  <si>
    <t>10 шт.</t>
  </si>
  <si>
    <t>ФССЦ-2001, 20.4.01.01-0042, приказ Минстроя России №1039/пр от 30.12.2016г.</t>
  </si>
  <si>
    <t>27</t>
  </si>
  <si>
    <t>Щиток до трех групп, устанавливаемый в нише цоколя</t>
  </si>
  <si>
    <t>27,1</t>
  </si>
  <si>
    <t>62.1.02.16-0013</t>
  </si>
  <si>
    <t>Щитки навесные IEK ЩРН -18з-1 12 модулей ,IP 31 с клемником (АВВ) , с замком ,материал корпуса металлический (без счетчиков) прим.</t>
  </si>
  <si>
    <t>ФССЦ-2001, 62.1.02.16-0013, приказ Минстроя России №1039/пр от 30.12.2016г.</t>
  </si>
  <si>
    <t>28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</si>
  <si>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</si>
  <si>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</si>
  <si>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</si>
  <si>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28,1</t>
  </si>
  <si>
    <t>62.1.01.09-0090</t>
  </si>
  <si>
    <t>Выключатели автоматические «АВВ" 3Р 20А прим.</t>
  </si>
  <si>
    <t>ФССЦ-2001, 62.1.01.09-0090, приказ Минстроя России №1039/пр от 30.12.2016г.</t>
  </si>
  <si>
    <t>29</t>
  </si>
  <si>
    <t>м08-03-575-01</t>
  </si>
  <si>
    <t>Прибор или аппарат</t>
  </si>
  <si>
    <t>ФЕРм-2001, м08-03-575-01, приказ Минстроя России №1039/пр от 30.12.2016г.</t>
  </si>
  <si>
    <t>29,1</t>
  </si>
  <si>
    <t>62.1.01.09-0093</t>
  </si>
  <si>
    <t>Выключатели автоматические «АВВ»  3Р 40А</t>
  </si>
  <si>
    <t>ФССЦ-2001, 62.1.01.09-0093, приказ Минстроя России №1039/пр от 30.12.2016г.</t>
  </si>
  <si>
    <t>30</t>
  </si>
  <si>
    <t>м08-01-080-03</t>
  </si>
  <si>
    <t>Прибор измерения и защиты, количество подключаемых концов до 12</t>
  </si>
  <si>
    <t>ФЕРм-2001, м08-01-080-03, приказ Минстроя России №1039/пр от 30.12.2016г.</t>
  </si>
  <si>
    <t>30,1</t>
  </si>
  <si>
    <t>62.1.05.03-0002</t>
  </si>
  <si>
    <t>Устройства защитного отключения «IEK» УЗО ВД1-63 2Р 16-40А, ток утечки 100 мА</t>
  </si>
  <si>
    <t>ФССЦ-2001, 62.1.05.03-0002, приказ Минстроя России №1039/пр от 30.12.2016г.</t>
  </si>
  <si>
    <t>3 Уборка и вывоз мусора</t>
  </si>
  <si>
    <t>31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</si>
  <si>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</si>
  <si>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</si>
  <si>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</si>
  <si>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Прочие ремонтно-строительные работы</t>
  </si>
  <si>
    <t>рФЕР-69</t>
  </si>
  <si>
    <t>32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</si>
  <si>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</si>
  <si>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</si>
  <si>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</si>
  <si>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</si>
  <si>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</si>
  <si>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</si>
  <si>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</si>
  <si>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33</t>
  </si>
  <si>
    <t>т03-01-01-070</t>
  </si>
  <si>
    <t>Перевозка грузов I класса автомобилями бортовыми грузоподъемностью до 15 т на расстояние до 70 км</t>
  </si>
  <si>
    <t>ФССЦпг-2001, т03-01-01-070,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</si>
  <si>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</si>
  <si>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</si>
  <si>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</si>
  <si>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</si>
  <si>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</si>
  <si>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</si>
  <si>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</si>
  <si>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</si>
  <si>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</si>
  <si>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</si>
  <si>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</si>
  <si>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</si>
  <si>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</si>
  <si>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</si>
  <si>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</si>
  <si>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</si>
  <si>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</si>
  <si>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</si>
  <si>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</si>
  <si>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</si>
  <si>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</si>
  <si>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</si>
  <si>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</si>
  <si>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</si>
  <si>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</si>
  <si>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</si>
  <si>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</si>
  <si>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</si>
  <si>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</si>
  <si>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</si>
  <si>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</si>
  <si>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</si>
  <si>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</si>
  <si>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</si>
  <si>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</si>
  <si>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</si>
  <si>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</si>
  <si>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</si>
  <si>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</si>
  <si>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</si>
  <si>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</si>
  <si>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</si>
  <si>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</si>
  <si>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</si>
  <si>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</si>
  <si>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</si>
  <si>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</si>
  <si>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</si>
  <si>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</si>
  <si>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</si>
  <si>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</si>
  <si>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</si>
  <si>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</si>
  <si>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</si>
  <si>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</si>
  <si>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</si>
  <si>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</si>
  <si>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</si>
  <si>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</si>
  <si>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</si>
  <si>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</si>
  <si>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</si>
  <si>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</si>
  <si>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</si>
  <si>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</si>
  <si>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</si>
  <si>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</si>
  <si>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</si>
  <si>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</si>
  <si>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</si>
  <si>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</si>
  <si>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</si>
  <si>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</si>
  <si>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</si>
  <si>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</si>
  <si>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</si>
  <si>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</si>
  <si>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</si>
  <si>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</si>
  <si>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</si>
  <si>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</si>
  <si>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1-100-38</t>
  </si>
  <si>
    <t>Рабочий среднего разряда 3.8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</si>
  <si>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</si>
  <si>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</si>
  <si>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</si>
  <si>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</si>
  <si>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</si>
  <si>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</si>
  <si>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1-100-30</t>
  </si>
  <si>
    <t>Рабочий среднего разряда 3</t>
  </si>
  <si>
    <t>01.7.03.01-0001</t>
  </si>
  <si>
    <t>ФССЦ-2001, 01.7.03.01-0001, приказ Минстроя России №1039/пр от 30.12.2016г.</t>
  </si>
  <si>
    <t>Вода</t>
  </si>
  <si>
    <t>03.1.01.01-0002</t>
  </si>
  <si>
    <t>ФССЦ-2001, 03.1.01.01-0002, приказ Минстроя России №1039/пр от 30.12.2016г.</t>
  </si>
  <si>
    <t>Гипсовые вяжущие, марка Г3</t>
  </si>
  <si>
    <t>1-100-27</t>
  </si>
  <si>
    <t>Рабочий среднего разряда 2.7</t>
  </si>
  <si>
    <t>11.2.09.02-0003</t>
  </si>
  <si>
    <t>ФССЦ-2001, 11.2.09.02-0003, приказ Минстроя России №1039/пр от 30.12.2016г.</t>
  </si>
  <si>
    <t>Плиты древесностружечные многослойные и трехслойные, марки П-1, толщиной 15-17 мм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</si>
  <si>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</si>
  <si>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</si>
  <si>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</si>
  <si>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01.7.20.08-0051</t>
  </si>
  <si>
    <t>ФССЦ-2001, 01.7.20.08-0051, приказ Минстроя России №1039/пр от 30.12.2016г.</t>
  </si>
  <si>
    <t>Ветошь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</si>
  <si>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</si>
  <si>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</si>
  <si>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</si>
  <si>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</si>
  <si>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</si>
  <si>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</si>
  <si>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</si>
  <si>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</si>
  <si>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</si>
  <si>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1-100-32</t>
  </si>
  <si>
    <t>Рабочий среднего разряда 3.2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</si>
  <si>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</si>
  <si>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</si>
  <si>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</si>
  <si>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</si>
  <si>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</si>
  <si>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</si>
  <si>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</si>
  <si>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</si>
  <si>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1-100-24</t>
  </si>
  <si>
    <t>Рабочий среднего разряда 2.4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</si>
  <si>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</si>
  <si>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</si>
  <si>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</si>
  <si>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01.7.15.06-0111</t>
  </si>
  <si>
    <t>ФССЦ-2001, 01.7.15.06-0111, приказ Минстроя России №1039/пр от 30.12.2016г.</t>
  </si>
  <si>
    <t>Гвозди строительные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</si>
  <si>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</si>
  <si>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</si>
  <si>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</si>
  <si>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</si>
  <si>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</si>
  <si>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</si>
  <si>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</si>
  <si>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</si>
  <si>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</si>
  <si>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11.1.03.06-0091</t>
  </si>
  <si>
    <t>ФССЦ-2001, 11.1.03.06-0091, приказ Минстроя России №1039/пр от 30.12.2016г.</t>
  </si>
  <si>
    <t>Доски обрезные хвойных пород длиной 4-6,5 м, шириной 75-150 мм, толщиной 32-40 мм, III сорта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</si>
  <si>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</si>
  <si>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</si>
  <si>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</si>
  <si>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</si>
  <si>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</si>
  <si>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</si>
  <si>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1-100-40</t>
  </si>
  <si>
    <t>Рабочий среднего разряда 4</t>
  </si>
  <si>
    <t>1-100-33</t>
  </si>
  <si>
    <t>Рабочий среднего разряда 3.3</t>
  </si>
  <si>
    <t>01.7.02.10-0005</t>
  </si>
  <si>
    <t>ФССЦ-2001, 01.7.02.10-0005, приказ Минстроя России №1039/пр от 30.12.2016г.</t>
  </si>
  <si>
    <t>Бумага ролевая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</si>
  <si>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</si>
  <si>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</si>
  <si>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</si>
  <si>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14.1.03.01-0001</t>
  </si>
  <si>
    <t>ФССЦ-2001, 14.1.03.01-0001, приказ Минстроя России №1039/пр от 30.12.2016г.</t>
  </si>
  <si>
    <t>Клей для обоев КМЦ</t>
  </si>
  <si>
    <t>14.5.11.01-0001</t>
  </si>
  <si>
    <t>ФССЦ-2001, 14.5.11.01-0001, приказ Минстроя России №1039/пр от 30.12.2016г.</t>
  </si>
  <si>
    <t>Шпатлевка клеевая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</si>
  <si>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</si>
  <si>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</si>
  <si>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</si>
  <si>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</si>
  <si>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</si>
  <si>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</si>
  <si>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</si>
  <si>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</si>
  <si>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1-100-23</t>
  </si>
  <si>
    <t>Рабочий среднего разряда 2.3</t>
  </si>
  <si>
    <t>1-100-46</t>
  </si>
  <si>
    <t>Рабочий среднего разряда 4.6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</si>
  <si>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</si>
  <si>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</si>
  <si>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</si>
  <si>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</si>
  <si>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</si>
  <si>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</si>
  <si>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</si>
  <si>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</si>
  <si>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</si>
  <si>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</si>
  <si>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</si>
  <si>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</si>
  <si>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</si>
  <si>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</si>
  <si>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</si>
  <si>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1-100-42</t>
  </si>
  <si>
    <t>Рабочий среднего разряда 4.2</t>
  </si>
  <si>
    <t>20.5.04.10-0011</t>
  </si>
  <si>
    <t>ФССЦ-2001, 20.5.04.10-0011, приказ Минстроя России №1039/пр от 30.12.2016г.</t>
  </si>
  <si>
    <t>Сжимы соединительные</t>
  </si>
  <si>
    <t>01.7.15.07-0152</t>
  </si>
  <si>
    <t>ФССЦ-2001, 01.7.15.07-0152, приказ Минстроя России №1039/пр от 30.12.2016г.</t>
  </si>
  <si>
    <t>Дюбель с шурупом 6/35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</si>
  <si>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</si>
  <si>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</si>
  <si>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</si>
  <si>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</si>
  <si>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</si>
  <si>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</si>
  <si>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</si>
  <si>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</si>
  <si>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</si>
  <si>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</si>
  <si>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</si>
  <si>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1-100-39</t>
  </si>
  <si>
    <t>Рабочий среднего разряда 3.9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</si>
  <si>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</si>
  <si>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</si>
  <si>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</si>
  <si>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</si>
  <si>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</si>
  <si>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</si>
  <si>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01.7.06.07-0001</t>
  </si>
  <si>
    <t>ФССЦ-2001, 01.7.06.07-0001, приказ Минстроя России №1039/пр от 30.12.2016г.</t>
  </si>
  <si>
    <t>Лента К226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</si>
  <si>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</si>
  <si>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</si>
  <si>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</si>
  <si>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</si>
  <si>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</si>
  <si>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</si>
  <si>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</si>
  <si>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</si>
  <si>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</si>
  <si>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</si>
  <si>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</si>
  <si>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</si>
  <si>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</si>
  <si>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</si>
  <si>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</si>
  <si>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</si>
  <si>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</si>
  <si>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</si>
  <si>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</si>
  <si>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</si>
  <si>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</si>
  <si>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</si>
  <si>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</si>
  <si>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</si>
  <si>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</si>
  <si>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</si>
  <si>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</si>
  <si>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</si>
  <si>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</si>
  <si>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</si>
  <si>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</si>
  <si>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</si>
  <si>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</si>
  <si>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</si>
  <si>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</si>
  <si>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01.7.07.07</t>
  </si>
  <si>
    <t>Строительный мусор</t>
  </si>
  <si>
    <t>01.6.03.04</t>
  </si>
  <si>
    <t>Линолеум на теплозвукоизолирующей подоснове</t>
  </si>
  <si>
    <t>11.3.03.06</t>
  </si>
  <si>
    <t>Плинтуса для полов пластиковые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</si>
  <si>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</si>
  <si>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</si>
  <si>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</si>
  <si>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</si>
  <si>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</si>
  <si>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</si>
  <si>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09.2.03.02</t>
  </si>
  <si>
    <t>Профили стыкоперекрывающие из алюминиевых сплавов (порожки) с покрытием</t>
  </si>
  <si>
    <t>06.1.01.05</t>
  </si>
  <si>
    <t>Кирпич глиняный обыкновенный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</si>
  <si>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</si>
  <si>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</si>
  <si>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</si>
  <si>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</si>
  <si>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</si>
  <si>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</si>
  <si>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</si>
  <si>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</si>
  <si>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</si>
  <si>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</si>
  <si>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</si>
  <si>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</si>
  <si>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</si>
  <si>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</si>
  <si>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</si>
  <si>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</si>
  <si>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</si>
  <si>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</si>
  <si>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</si>
  <si>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</si>
  <si>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</si>
  <si>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</si>
  <si>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</si>
  <si>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</si>
  <si>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</si>
  <si>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</si>
  <si>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</si>
  <si>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</si>
  <si>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</si>
  <si>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</si>
  <si>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</si>
  <si>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</si>
  <si>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r>
      <t>Краска моющиеся акриловая "Олимп Гамма"</t>
    </r>
    <r>
      <rPr>
        <i/>
        <sz val="10"/>
        <rFont val="Arial"/>
        <family val="2"/>
        <charset val="204"/>
      </rPr>
      <t xml:space="preserve">
Базисная стоимость: 31,27 = [243,89 / 1,18 /  6,61]</t>
    </r>
  </si>
  <si>
    <t xml:space="preserve">   </t>
  </si>
  <si>
    <t xml:space="preserve"> СМЕТА</t>
  </si>
  <si>
    <t>Ремонт учебных аудиторий №15,№23,№27, 1-го этажа учебного здания Нововоронежского плитехнического -филиала НИЯУ МИФИ (НВПК НИЯУ МИФИ) по адресу: Воронежская область,г.Нововоронеж,ул.Октябрьская,д.1</t>
  </si>
  <si>
    <t>Приложение 1 к Приложению 4 к извещению о проведении запроса котировок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</si>
</sst>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color indexed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9" fillId="0" borderId="0" xfId="0" applyFont="1"/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0" fillId="0" borderId="0" xfId="0" applyBorder="1"/>
    <xf numFmtId="0" fontId="0" fillId="0" borderId="0" xfId="0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1" fillId="0" borderId="2" xfId="0" applyFont="1" applyBorder="1" applyAlignment="1">
      <alignment horizontal="lef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68"/>
  <sheetViews>
    <sheetView tabSelected="1" zoomScaleNormal="100" workbookViewId="0">
      <selection activeCell="H3" sqref="H3:L3"/>
    </sheetView>
  </sheetViews>
  <sheetFormatPr defaultRowHeight="12.75" x14ac:dyDescent="0.2"/>
  <cols>
    <col min="1" max="1" width="5.7109375" customWidth="1"/>
    <col min="2" max="2" width="19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9" t="str">
        <f>Source!B1</f>
        <v>Smeta.RU  (495) 974-1589</v>
      </c>
      <c r="H1" s="53" t="s">
        <v>698</v>
      </c>
      <c r="I1" s="53"/>
      <c r="J1" s="53"/>
      <c r="K1" s="53"/>
    </row>
    <row r="2" spans="1:12" ht="14.25" x14ac:dyDescent="0.2">
      <c r="A2" s="10"/>
      <c r="B2" s="10"/>
      <c r="C2" s="10"/>
      <c r="D2" s="10"/>
      <c r="E2" s="10"/>
      <c r="F2" s="10"/>
      <c r="G2" s="10"/>
      <c r="H2" s="53"/>
      <c r="I2" s="53"/>
      <c r="J2" s="53"/>
      <c r="K2" s="53"/>
      <c r="L2" s="11"/>
    </row>
    <row r="3" spans="1:12" ht="16.5" x14ac:dyDescent="0.25">
      <c r="A3" s="12"/>
      <c r="B3" s="55"/>
      <c r="C3" s="55"/>
      <c r="D3" s="55"/>
      <c r="E3" s="55"/>
      <c r="F3" s="11"/>
      <c r="G3" s="11"/>
      <c r="H3" s="55"/>
      <c r="I3" s="55"/>
      <c r="J3" s="55"/>
      <c r="K3" s="55"/>
      <c r="L3" s="55"/>
    </row>
    <row r="4" spans="1:12" ht="14.25" x14ac:dyDescent="0.2">
      <c r="A4" s="11"/>
      <c r="B4" s="56"/>
      <c r="C4" s="56"/>
      <c r="D4" s="56"/>
      <c r="E4" s="56"/>
      <c r="F4" s="11"/>
      <c r="G4" s="11"/>
      <c r="H4" s="56"/>
      <c r="I4" s="56"/>
      <c r="J4" s="56"/>
      <c r="K4" s="56"/>
      <c r="L4" s="56"/>
    </row>
    <row r="5" spans="1:12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12" ht="14.25" x14ac:dyDescent="0.2">
      <c r="A6" s="15"/>
      <c r="B6" s="56"/>
      <c r="C6" s="56"/>
      <c r="D6" s="56"/>
      <c r="E6" s="56"/>
      <c r="F6" s="11"/>
      <c r="G6" s="11"/>
      <c r="H6" s="56"/>
      <c r="I6" s="56"/>
      <c r="J6" s="56"/>
      <c r="K6" s="56"/>
      <c r="L6" s="56"/>
    </row>
    <row r="7" spans="1:12" ht="14.25" x14ac:dyDescent="0.2">
      <c r="A7" s="16"/>
      <c r="B7" s="54"/>
      <c r="C7" s="54"/>
      <c r="D7" s="54"/>
      <c r="E7" s="54"/>
      <c r="F7" s="11"/>
      <c r="G7" s="11"/>
      <c r="H7" s="54"/>
      <c r="I7" s="54"/>
      <c r="J7" s="54"/>
      <c r="K7" s="54"/>
      <c r="L7" s="54"/>
    </row>
    <row r="10" spans="1:12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5.75" x14ac:dyDescent="0.25">
      <c r="A11" s="17"/>
      <c r="B11" s="61" t="s">
        <v>696</v>
      </c>
      <c r="C11" s="61"/>
      <c r="D11" s="61"/>
      <c r="E11" s="61"/>
      <c r="F11" s="61"/>
      <c r="G11" s="61"/>
      <c r="H11" s="61"/>
      <c r="I11" s="61"/>
      <c r="J11" s="61"/>
      <c r="K11" s="61"/>
      <c r="L11" s="17"/>
    </row>
    <row r="12" spans="1:12" ht="18" hidden="1" x14ac:dyDescent="0.25">
      <c r="A12" s="17"/>
      <c r="B12" s="62" t="str">
        <f>IF(Source!G20&lt;&gt;"Новая локальная смета", Source!G20, "")</f>
        <v/>
      </c>
      <c r="C12" s="62"/>
      <c r="D12" s="62"/>
      <c r="E12" s="62"/>
      <c r="F12" s="62"/>
      <c r="G12" s="62"/>
      <c r="H12" s="62"/>
      <c r="I12" s="62"/>
      <c r="J12" s="62"/>
      <c r="K12" s="62"/>
      <c r="L12" s="17"/>
    </row>
    <row r="13" spans="1:12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ht="48.75" customHeight="1" x14ac:dyDescent="0.25">
      <c r="A14" s="11"/>
      <c r="B14" s="62" t="str">
        <f>IF(Source!G12&lt;&gt;"Новый объект", Source!G12, "")</f>
        <v>Ремонт учебных аудиторий №15,№23,№27, 1-го этажа учебного здания Нововоронежского плитехнического -филиала НИЯУ МИФИ (НВПК НИЯУ МИФИ) по адресу: Воронежская область,г.Нововоронеж,ул.Октябрьская,д.1</v>
      </c>
      <c r="C14" s="62"/>
      <c r="D14" s="62"/>
      <c r="E14" s="62"/>
      <c r="F14" s="62"/>
      <c r="G14" s="62"/>
      <c r="H14" s="62"/>
      <c r="I14" s="62"/>
      <c r="J14" s="62"/>
      <c r="K14" s="62"/>
      <c r="L14" s="18"/>
    </row>
    <row r="15" spans="1:12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63" t="s">
        <v>662</v>
      </c>
      <c r="H17" s="63"/>
      <c r="I17" s="63" t="s">
        <v>663</v>
      </c>
      <c r="J17" s="63"/>
      <c r="K17" s="11"/>
      <c r="L17" s="11"/>
    </row>
    <row r="18" spans="1:22" ht="15" x14ac:dyDescent="0.25">
      <c r="A18" s="11"/>
      <c r="B18" s="11"/>
      <c r="C18" s="57" t="s">
        <v>664</v>
      </c>
      <c r="D18" s="57"/>
      <c r="E18" s="57"/>
      <c r="F18" s="57"/>
      <c r="G18" s="58">
        <f>SUM(O29:O357)/1000</f>
        <v>81.595020000000019</v>
      </c>
      <c r="H18" s="58"/>
      <c r="I18" s="58">
        <f>(Source!F227/1000)</f>
        <v>636.66406999999992</v>
      </c>
      <c r="J18" s="58"/>
      <c r="K18" s="59" t="s">
        <v>665</v>
      </c>
      <c r="L18" s="59"/>
    </row>
    <row r="19" spans="1:22" ht="14.25" x14ac:dyDescent="0.2">
      <c r="A19" s="11"/>
      <c r="B19" s="11"/>
      <c r="C19" s="60" t="s">
        <v>666</v>
      </c>
      <c r="D19" s="60"/>
      <c r="E19" s="60"/>
      <c r="F19" s="60"/>
      <c r="G19" s="58">
        <f>SUM(W29:W357)/1000</f>
        <v>61.147099999999973</v>
      </c>
      <c r="H19" s="58"/>
      <c r="I19" s="58">
        <f>(Source!F214)/1000</f>
        <v>404.38499999999999</v>
      </c>
      <c r="J19" s="58"/>
      <c r="K19" s="59" t="s">
        <v>665</v>
      </c>
      <c r="L19" s="59"/>
    </row>
    <row r="20" spans="1:22" ht="14.25" x14ac:dyDescent="0.2">
      <c r="A20" s="11"/>
      <c r="B20" s="11"/>
      <c r="C20" s="60" t="s">
        <v>667</v>
      </c>
      <c r="D20" s="60"/>
      <c r="E20" s="60"/>
      <c r="F20" s="60"/>
      <c r="G20" s="58">
        <f>SUM(X29:X357)/1000</f>
        <v>20.447919999999989</v>
      </c>
      <c r="H20" s="58"/>
      <c r="I20" s="58">
        <f>(Source!F215)/1000</f>
        <v>135.16082</v>
      </c>
      <c r="J20" s="58"/>
      <c r="K20" s="59" t="s">
        <v>665</v>
      </c>
      <c r="L20" s="59"/>
    </row>
    <row r="21" spans="1:22" ht="14.25" x14ac:dyDescent="0.2">
      <c r="A21" s="11"/>
      <c r="B21" s="11"/>
      <c r="C21" s="60" t="s">
        <v>668</v>
      </c>
      <c r="D21" s="60"/>
      <c r="E21" s="60"/>
      <c r="F21" s="60"/>
      <c r="G21" s="58">
        <f>SUM(Y29:Y357)/1000</f>
        <v>0</v>
      </c>
      <c r="H21" s="58"/>
      <c r="I21" s="58">
        <f>(Source!F206)/1000</f>
        <v>0</v>
      </c>
      <c r="J21" s="58"/>
      <c r="K21" s="59" t="s">
        <v>665</v>
      </c>
      <c r="L21" s="59"/>
    </row>
    <row r="22" spans="1:22" ht="14.25" x14ac:dyDescent="0.2">
      <c r="A22" s="11"/>
      <c r="B22" s="11"/>
      <c r="C22" s="60" t="s">
        <v>669</v>
      </c>
      <c r="D22" s="60"/>
      <c r="E22" s="60"/>
      <c r="F22" s="60"/>
      <c r="G22" s="58">
        <f>SUM(Z29:Z357)/1000</f>
        <v>0</v>
      </c>
      <c r="H22" s="58"/>
      <c r="I22" s="58">
        <f>(Source!F216+Source!F217)/1000</f>
        <v>0</v>
      </c>
      <c r="J22" s="58"/>
      <c r="K22" s="59" t="s">
        <v>665</v>
      </c>
      <c r="L22" s="59"/>
    </row>
    <row r="23" spans="1:22" ht="15" x14ac:dyDescent="0.25">
      <c r="A23" s="11"/>
      <c r="B23" s="11"/>
      <c r="C23" s="57" t="s">
        <v>670</v>
      </c>
      <c r="D23" s="57"/>
      <c r="E23" s="57"/>
      <c r="F23" s="57"/>
      <c r="G23" s="58">
        <f>I23</f>
        <v>652.18436259999999</v>
      </c>
      <c r="H23" s="58"/>
      <c r="I23" s="58">
        <f>(Source!F219+Source!F220)</f>
        <v>652.18436259999999</v>
      </c>
      <c r="J23" s="58"/>
      <c r="K23" s="59" t="s">
        <v>671</v>
      </c>
      <c r="L23" s="59"/>
    </row>
    <row r="24" spans="1:22" ht="15" x14ac:dyDescent="0.25">
      <c r="A24" s="11"/>
      <c r="B24" s="11"/>
      <c r="C24" s="57" t="s">
        <v>672</v>
      </c>
      <c r="D24" s="57"/>
      <c r="E24" s="57"/>
      <c r="F24" s="57"/>
      <c r="G24" s="58">
        <f>SUM(R29:R357)/1000</f>
        <v>5.8272100000000018</v>
      </c>
      <c r="H24" s="58"/>
      <c r="I24" s="58">
        <f>(Source!F212+ Source!F211)/1000</f>
        <v>38.517620000000001</v>
      </c>
      <c r="J24" s="58"/>
      <c r="K24" s="59" t="s">
        <v>665</v>
      </c>
      <c r="L24" s="59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65" t="s">
        <v>685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</row>
    <row r="27" spans="1:22" ht="57" x14ac:dyDescent="0.2">
      <c r="A27" s="20" t="s">
        <v>673</v>
      </c>
      <c r="B27" s="20" t="s">
        <v>674</v>
      </c>
      <c r="C27" s="20" t="s">
        <v>675</v>
      </c>
      <c r="D27" s="20" t="s">
        <v>676</v>
      </c>
      <c r="E27" s="20" t="s">
        <v>677</v>
      </c>
      <c r="F27" s="20" t="s">
        <v>678</v>
      </c>
      <c r="G27" s="20" t="s">
        <v>679</v>
      </c>
      <c r="H27" s="20" t="s">
        <v>680</v>
      </c>
      <c r="I27" s="20" t="s">
        <v>681</v>
      </c>
      <c r="J27" s="20" t="s">
        <v>682</v>
      </c>
      <c r="K27" s="20" t="s">
        <v>683</v>
      </c>
      <c r="L27" s="20" t="s">
        <v>684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16.5" x14ac:dyDescent="0.25">
      <c r="A29" s="71" t="str">
        <f>CONCATENATE("Раздел: ",IF(Source!G24&lt;&gt;"Новый раздел", Source!G24, ""))</f>
        <v>Раздел: 1 Общестроительные работы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0" spans="1:22" ht="28.5" x14ac:dyDescent="0.2">
      <c r="A30" s="44" t="str">
        <f>Source!E28</f>
        <v>1</v>
      </c>
      <c r="B30" s="45" t="str">
        <f>Source!F28</f>
        <v>57-3-1</v>
      </c>
      <c r="C30" s="45" t="str">
        <f>Source!G28</f>
        <v>Разборка плинтусов деревянных и из пластмассовых материалов</v>
      </c>
      <c r="D30" s="28" t="str">
        <f>Source!H28</f>
        <v>100 м</v>
      </c>
      <c r="E30" s="10">
        <f>Source!I28</f>
        <v>0.76780000000000004</v>
      </c>
      <c r="F30" s="29">
        <f>Source!AL28+Source!AM28+Source!AO28</f>
        <v>29.41</v>
      </c>
      <c r="G30" s="30"/>
      <c r="H30" s="29"/>
      <c r="I30" s="30" t="str">
        <f>Source!BO28</f>
        <v/>
      </c>
      <c r="J30" s="30"/>
      <c r="K30" s="29"/>
      <c r="L30" s="31"/>
      <c r="S30">
        <f>ROUND((Source!FX28/100)*((ROUND(Source!AF28*Source!I28, 2)+ROUND(Source!AE28*Source!I28, 2))), 2)</f>
        <v>18.059999999999999</v>
      </c>
      <c r="T30">
        <f>Source!X28</f>
        <v>119.41</v>
      </c>
      <c r="U30">
        <f>ROUND((Source!FY28/100)*((ROUND(Source!AF28*Source!I28, 2)+ROUND(Source!AE28*Source!I28, 2))), 2)</f>
        <v>15.35</v>
      </c>
      <c r="V30">
        <f>Source!Y28</f>
        <v>101.5</v>
      </c>
    </row>
    <row r="31" spans="1:22" x14ac:dyDescent="0.2">
      <c r="C31" s="23" t="str">
        <f>"Объем: "&amp;Source!I28&amp;"=76,78/"&amp;"100"</f>
        <v>Объем: 0,7678=76,78/100</v>
      </c>
    </row>
    <row r="32" spans="1:22" ht="14.25" x14ac:dyDescent="0.2">
      <c r="A32" s="44"/>
      <c r="B32" s="45"/>
      <c r="C32" s="45" t="s">
        <v>686</v>
      </c>
      <c r="D32" s="28"/>
      <c r="E32" s="10"/>
      <c r="F32" s="29">
        <f>Source!AO28</f>
        <v>29.41</v>
      </c>
      <c r="G32" s="30" t="str">
        <f>Source!DG28</f>
        <v/>
      </c>
      <c r="H32" s="29">
        <f>ROUND(Source!AF28*Source!I28, 2)</f>
        <v>22.58</v>
      </c>
      <c r="I32" s="30"/>
      <c r="J32" s="30">
        <f>IF(Source!BA28&lt;&gt; 0, Source!BA28, 1)</f>
        <v>6.61</v>
      </c>
      <c r="K32" s="29">
        <f>Source!S28</f>
        <v>149.26</v>
      </c>
      <c r="L32" s="31"/>
      <c r="R32">
        <f>H32</f>
        <v>22.58</v>
      </c>
    </row>
    <row r="33" spans="1:26" ht="14.25" x14ac:dyDescent="0.2">
      <c r="A33" s="44"/>
      <c r="B33" s="45"/>
      <c r="C33" s="45" t="s">
        <v>687</v>
      </c>
      <c r="D33" s="28" t="s">
        <v>688</v>
      </c>
      <c r="E33" s="10">
        <f>Source!BZ28</f>
        <v>80</v>
      </c>
      <c r="F33" s="48"/>
      <c r="G33" s="30"/>
      <c r="H33" s="29">
        <f>SUM(S30:S35)</f>
        <v>18.059999999999999</v>
      </c>
      <c r="I33" s="32"/>
      <c r="J33" s="27">
        <f>Source!AT28</f>
        <v>80</v>
      </c>
      <c r="K33" s="29">
        <f>SUM(T30:T35)</f>
        <v>119.41</v>
      </c>
      <c r="L33" s="31"/>
    </row>
    <row r="34" spans="1:26" ht="14.25" x14ac:dyDescent="0.2">
      <c r="A34" s="44"/>
      <c r="B34" s="45"/>
      <c r="C34" s="45" t="s">
        <v>689</v>
      </c>
      <c r="D34" s="28" t="s">
        <v>688</v>
      </c>
      <c r="E34" s="10">
        <f>Source!CA28</f>
        <v>68</v>
      </c>
      <c r="F34" s="48"/>
      <c r="G34" s="30"/>
      <c r="H34" s="29">
        <f>SUM(U30:U35)</f>
        <v>15.35</v>
      </c>
      <c r="I34" s="32"/>
      <c r="J34" s="27">
        <f>Source!AU28</f>
        <v>68</v>
      </c>
      <c r="K34" s="29">
        <f>SUM(V30:V35)</f>
        <v>101.5</v>
      </c>
      <c r="L34" s="31"/>
    </row>
    <row r="35" spans="1:26" ht="14.25" x14ac:dyDescent="0.2">
      <c r="A35" s="46"/>
      <c r="B35" s="47"/>
      <c r="C35" s="47" t="s">
        <v>690</v>
      </c>
      <c r="D35" s="33" t="s">
        <v>691</v>
      </c>
      <c r="E35" s="34">
        <f>Source!AQ28</f>
        <v>3.77</v>
      </c>
      <c r="F35" s="35"/>
      <c r="G35" s="36" t="str">
        <f>Source!DI28</f>
        <v/>
      </c>
      <c r="H35" s="35"/>
      <c r="I35" s="36"/>
      <c r="J35" s="36"/>
      <c r="K35" s="35"/>
      <c r="L35" s="37">
        <f>Source!U28</f>
        <v>2.894606</v>
      </c>
    </row>
    <row r="36" spans="1:26" ht="15" x14ac:dyDescent="0.25">
      <c r="G36" s="68">
        <f>H32+H33+H34</f>
        <v>55.99</v>
      </c>
      <c r="H36" s="68"/>
      <c r="J36" s="68">
        <f>K32+K33+K34</f>
        <v>370.16999999999996</v>
      </c>
      <c r="K36" s="68"/>
      <c r="L36" s="38">
        <f>Source!U28</f>
        <v>2.894606</v>
      </c>
      <c r="O36" s="24">
        <f>G36</f>
        <v>55.99</v>
      </c>
      <c r="P36" s="24">
        <f>J36</f>
        <v>370.16999999999996</v>
      </c>
      <c r="Q36" s="24">
        <f>L36</f>
        <v>2.894606</v>
      </c>
      <c r="W36">
        <f>IF(Source!BI28&lt;=1,H32+H33+H34, 0)</f>
        <v>55.99</v>
      </c>
      <c r="X36">
        <f>IF(Source!BI28=2,H32+H33+H34, 0)</f>
        <v>0</v>
      </c>
      <c r="Y36">
        <f>IF(Source!BI28=3,H32+H33+H34, 0)</f>
        <v>0</v>
      </c>
      <c r="Z36">
        <f>IF(Source!BI28=4,H32+H33+H34, 0)</f>
        <v>0</v>
      </c>
    </row>
    <row r="37" spans="1:26" ht="28.5" x14ac:dyDescent="0.2">
      <c r="A37" s="44" t="str">
        <f>Source!E29</f>
        <v>2</v>
      </c>
      <c r="B37" s="45" t="str">
        <f>Source!F29</f>
        <v>57-2-1</v>
      </c>
      <c r="C37" s="45" t="str">
        <f>Source!G29</f>
        <v>Разборка покрытий полов из линолеума и релина</v>
      </c>
      <c r="D37" s="28" t="str">
        <f>Source!H29</f>
        <v>100 м2</v>
      </c>
      <c r="E37" s="10">
        <f>Source!I29</f>
        <v>1.206</v>
      </c>
      <c r="F37" s="29">
        <f>Source!AL29+Source!AM29+Source!AO29</f>
        <v>92.9</v>
      </c>
      <c r="G37" s="30"/>
      <c r="H37" s="29"/>
      <c r="I37" s="30" t="str">
        <f>Source!BO29</f>
        <v/>
      </c>
      <c r="J37" s="30"/>
      <c r="K37" s="29"/>
      <c r="L37" s="31"/>
      <c r="S37">
        <f>ROUND((Source!FX29/100)*((ROUND(Source!AF29*Source!I29, 2)+ROUND(Source!AE29*Source!I29, 2))), 2)</f>
        <v>87.41</v>
      </c>
      <c r="T37">
        <f>Source!X29</f>
        <v>577.78</v>
      </c>
      <c r="U37">
        <f>ROUND((Source!FY29/100)*((ROUND(Source!AF29*Source!I29, 2)+ROUND(Source!AE29*Source!I29, 2))), 2)</f>
        <v>74.3</v>
      </c>
      <c r="V37">
        <f>Source!Y29</f>
        <v>491.12</v>
      </c>
    </row>
    <row r="38" spans="1:26" x14ac:dyDescent="0.2">
      <c r="C38" s="23" t="str">
        <f>"Объем: "&amp;Source!I29&amp;"=120,6/"&amp;"100"</f>
        <v>Объем: 1,206=120,6/100</v>
      </c>
    </row>
    <row r="39" spans="1:26" ht="14.25" x14ac:dyDescent="0.2">
      <c r="A39" s="44"/>
      <c r="B39" s="45"/>
      <c r="C39" s="45" t="s">
        <v>686</v>
      </c>
      <c r="D39" s="28"/>
      <c r="E39" s="10"/>
      <c r="F39" s="29">
        <f>Source!AO29</f>
        <v>88.84</v>
      </c>
      <c r="G39" s="30" t="str">
        <f>Source!DG29</f>
        <v/>
      </c>
      <c r="H39" s="29">
        <f>ROUND(Source!AF29*Source!I29, 2)</f>
        <v>107.14</v>
      </c>
      <c r="I39" s="30"/>
      <c r="J39" s="30">
        <f>IF(Source!BA29&lt;&gt; 0, Source!BA29, 1)</f>
        <v>6.61</v>
      </c>
      <c r="K39" s="29">
        <f>Source!S29</f>
        <v>708.2</v>
      </c>
      <c r="L39" s="31"/>
      <c r="R39">
        <f>H39</f>
        <v>107.14</v>
      </c>
    </row>
    <row r="40" spans="1:26" ht="14.25" x14ac:dyDescent="0.2">
      <c r="A40" s="44"/>
      <c r="B40" s="45"/>
      <c r="C40" s="45" t="s">
        <v>222</v>
      </c>
      <c r="D40" s="28"/>
      <c r="E40" s="10"/>
      <c r="F40" s="29">
        <f>Source!AM29</f>
        <v>4.0599999999999996</v>
      </c>
      <c r="G40" s="30" t="str">
        <f>Source!DE29</f>
        <v/>
      </c>
      <c r="H40" s="29">
        <f>ROUND(Source!AD29*Source!I29, 2)</f>
        <v>4.9000000000000004</v>
      </c>
      <c r="I40" s="30"/>
      <c r="J40" s="30">
        <f>IF(Source!BB29&lt;&gt; 0, Source!BB29, 1)</f>
        <v>6.61</v>
      </c>
      <c r="K40" s="29">
        <f>Source!Q29</f>
        <v>32.36</v>
      </c>
      <c r="L40" s="31"/>
    </row>
    <row r="41" spans="1:26" ht="14.25" x14ac:dyDescent="0.2">
      <c r="A41" s="44"/>
      <c r="B41" s="45"/>
      <c r="C41" s="45" t="s">
        <v>692</v>
      </c>
      <c r="D41" s="28"/>
      <c r="E41" s="10"/>
      <c r="F41" s="29">
        <f>Source!AN29</f>
        <v>1.76</v>
      </c>
      <c r="G41" s="30" t="str">
        <f>Source!DF29</f>
        <v/>
      </c>
      <c r="H41" s="39">
        <f>ROUND(Source!AE29*Source!I29, 2)</f>
        <v>2.12</v>
      </c>
      <c r="I41" s="30"/>
      <c r="J41" s="30">
        <f>IF(Source!BS29&lt;&gt; 0, Source!BS29, 1)</f>
        <v>6.61</v>
      </c>
      <c r="K41" s="39">
        <f>Source!R29</f>
        <v>14.03</v>
      </c>
      <c r="L41" s="31"/>
      <c r="R41">
        <f>H41</f>
        <v>2.12</v>
      </c>
    </row>
    <row r="42" spans="1:26" ht="14.25" x14ac:dyDescent="0.2">
      <c r="A42" s="44"/>
      <c r="B42" s="45"/>
      <c r="C42" s="45" t="s">
        <v>687</v>
      </c>
      <c r="D42" s="28" t="s">
        <v>688</v>
      </c>
      <c r="E42" s="10">
        <f>Source!BZ29</f>
        <v>80</v>
      </c>
      <c r="F42" s="48"/>
      <c r="G42" s="30"/>
      <c r="H42" s="29">
        <f>SUM(S37:S44)</f>
        <v>87.41</v>
      </c>
      <c r="I42" s="32"/>
      <c r="J42" s="27">
        <f>Source!AT29</f>
        <v>80</v>
      </c>
      <c r="K42" s="29">
        <f>SUM(T37:T44)</f>
        <v>577.78</v>
      </c>
      <c r="L42" s="31"/>
    </row>
    <row r="43" spans="1:26" ht="14.25" x14ac:dyDescent="0.2">
      <c r="A43" s="44"/>
      <c r="B43" s="45"/>
      <c r="C43" s="45" t="s">
        <v>689</v>
      </c>
      <c r="D43" s="28" t="s">
        <v>688</v>
      </c>
      <c r="E43" s="10">
        <f>Source!CA29</f>
        <v>68</v>
      </c>
      <c r="F43" s="48"/>
      <c r="G43" s="30"/>
      <c r="H43" s="29">
        <f>SUM(U37:U44)</f>
        <v>74.3</v>
      </c>
      <c r="I43" s="32"/>
      <c r="J43" s="27">
        <f>Source!AU29</f>
        <v>68</v>
      </c>
      <c r="K43" s="29">
        <f>SUM(V37:V44)</f>
        <v>491.12</v>
      </c>
      <c r="L43" s="31"/>
    </row>
    <row r="44" spans="1:26" ht="14.25" x14ac:dyDescent="0.2">
      <c r="A44" s="46"/>
      <c r="B44" s="47"/>
      <c r="C44" s="47" t="s">
        <v>690</v>
      </c>
      <c r="D44" s="33" t="s">
        <v>691</v>
      </c>
      <c r="E44" s="34">
        <f>Source!AQ29</f>
        <v>11.39</v>
      </c>
      <c r="F44" s="35"/>
      <c r="G44" s="36" t="str">
        <f>Source!DI29</f>
        <v/>
      </c>
      <c r="H44" s="35"/>
      <c r="I44" s="36"/>
      <c r="J44" s="36"/>
      <c r="K44" s="35"/>
      <c r="L44" s="37">
        <f>Source!U29</f>
        <v>13.73634</v>
      </c>
    </row>
    <row r="45" spans="1:26" ht="15" x14ac:dyDescent="0.25">
      <c r="G45" s="68">
        <f>H39+H40+H42+H43</f>
        <v>273.75</v>
      </c>
      <c r="H45" s="68"/>
      <c r="J45" s="68">
        <f>K39+K40+K42+K43</f>
        <v>1809.46</v>
      </c>
      <c r="K45" s="68"/>
      <c r="L45" s="38">
        <f>Source!U29</f>
        <v>13.73634</v>
      </c>
      <c r="O45" s="24">
        <f>G45</f>
        <v>273.75</v>
      </c>
      <c r="P45" s="24">
        <f>J45</f>
        <v>1809.46</v>
      </c>
      <c r="Q45" s="24">
        <f>L45</f>
        <v>13.73634</v>
      </c>
      <c r="W45">
        <f>IF(Source!BI29&lt;=1,H39+H40+H42+H43, 0)</f>
        <v>273.75</v>
      </c>
      <c r="X45">
        <f>IF(Source!BI29=2,H39+H40+H42+H43, 0)</f>
        <v>0</v>
      </c>
      <c r="Y45">
        <f>IF(Source!BI29=3,H39+H40+H42+H43, 0)</f>
        <v>0</v>
      </c>
      <c r="Z45">
        <f>IF(Source!BI29=4,H39+H40+H42+H43, 0)</f>
        <v>0</v>
      </c>
    </row>
    <row r="46" spans="1:26" ht="42.75" x14ac:dyDescent="0.2">
      <c r="A46" s="44" t="str">
        <f>Source!E30</f>
        <v>3</v>
      </c>
      <c r="B46" s="45" t="str">
        <f>Source!F30</f>
        <v>15-01-047-15</v>
      </c>
      <c r="C46" s="45" t="str">
        <f>Source!G30</f>
        <v>Устройство подвесных потолков типа &lt;Армстронг&gt; по каркасу из оцинкованного профиля</v>
      </c>
      <c r="D46" s="28" t="str">
        <f>Source!H30</f>
        <v>100 м2</v>
      </c>
      <c r="E46" s="10">
        <f>Source!I30</f>
        <v>1.206</v>
      </c>
      <c r="F46" s="29">
        <f>Source!AL30+Source!AM30+Source!AO30</f>
        <v>6623.23</v>
      </c>
      <c r="G46" s="30"/>
      <c r="H46" s="29"/>
      <c r="I46" s="30" t="str">
        <f>Source!BO30</f>
        <v/>
      </c>
      <c r="J46" s="30"/>
      <c r="K46" s="29"/>
      <c r="L46" s="31"/>
      <c r="S46">
        <f>ROUND((Source!FX30/100)*((ROUND(Source!AF30*Source!I30, 2)+ROUND(Source!AE30*Source!I30, 2))), 2)</f>
        <v>1352.59</v>
      </c>
      <c r="T46">
        <f>Source!X30</f>
        <v>8987.9500000000007</v>
      </c>
      <c r="U46">
        <f>ROUND((Source!FY30/100)*((ROUND(Source!AF30*Source!I30, 2)+ROUND(Source!AE30*Source!I30, 2))), 2)</f>
        <v>669.14</v>
      </c>
      <c r="V46">
        <f>Source!Y30</f>
        <v>4446.67</v>
      </c>
    </row>
    <row r="47" spans="1:26" x14ac:dyDescent="0.2">
      <c r="C47" s="23" t="str">
        <f>"Объем: "&amp;Source!I30&amp;"=120,6/"&amp;"100"</f>
        <v>Объем: 1,206=120,6/100</v>
      </c>
    </row>
    <row r="48" spans="1:26" ht="14.25" x14ac:dyDescent="0.2">
      <c r="A48" s="44"/>
      <c r="B48" s="45"/>
      <c r="C48" s="45" t="s">
        <v>686</v>
      </c>
      <c r="D48" s="28"/>
      <c r="E48" s="10"/>
      <c r="F48" s="29">
        <f>Source!AO30</f>
        <v>963.12</v>
      </c>
      <c r="G48" s="30" t="str">
        <f>Source!DG30</f>
        <v>)*1,15</v>
      </c>
      <c r="H48" s="29">
        <f>ROUND(Source!AF30*Source!I30, 2)</f>
        <v>1335.75</v>
      </c>
      <c r="I48" s="30"/>
      <c r="J48" s="30">
        <f>IF(Source!BA30&lt;&gt; 0, Source!BA30, 1)</f>
        <v>6.61</v>
      </c>
      <c r="K48" s="29">
        <f>Source!S30</f>
        <v>8829.33</v>
      </c>
      <c r="L48" s="31"/>
      <c r="R48">
        <f>H48</f>
        <v>1335.75</v>
      </c>
    </row>
    <row r="49" spans="1:26" ht="14.25" x14ac:dyDescent="0.2">
      <c r="A49" s="44"/>
      <c r="B49" s="45"/>
      <c r="C49" s="45" t="s">
        <v>222</v>
      </c>
      <c r="D49" s="28"/>
      <c r="E49" s="10"/>
      <c r="F49" s="29">
        <f>Source!AM30</f>
        <v>324.70999999999998</v>
      </c>
      <c r="G49" s="30" t="str">
        <f>Source!DE30</f>
        <v>)*1,25</v>
      </c>
      <c r="H49" s="29">
        <f>ROUND(Source!AD30*Source!I30, 2)</f>
        <v>489.5</v>
      </c>
      <c r="I49" s="30"/>
      <c r="J49" s="30">
        <f>IF(Source!BB30&lt;&gt; 0, Source!BB30, 1)</f>
        <v>6.61</v>
      </c>
      <c r="K49" s="29">
        <f>Source!Q30</f>
        <v>3235.62</v>
      </c>
      <c r="L49" s="31"/>
    </row>
    <row r="50" spans="1:26" ht="14.25" x14ac:dyDescent="0.2">
      <c r="A50" s="44"/>
      <c r="B50" s="45"/>
      <c r="C50" s="45" t="s">
        <v>692</v>
      </c>
      <c r="D50" s="28"/>
      <c r="E50" s="10"/>
      <c r="F50" s="29">
        <f>Source!AN30</f>
        <v>63.39</v>
      </c>
      <c r="G50" s="30" t="str">
        <f>Source!DF30</f>
        <v>)*1,25</v>
      </c>
      <c r="H50" s="39">
        <f>ROUND(Source!AE30*Source!I30, 2)</f>
        <v>95.56</v>
      </c>
      <c r="I50" s="30"/>
      <c r="J50" s="30">
        <f>IF(Source!BS30&lt;&gt; 0, Source!BS30, 1)</f>
        <v>6.61</v>
      </c>
      <c r="K50" s="39">
        <f>Source!R30</f>
        <v>631.66999999999996</v>
      </c>
      <c r="L50" s="31"/>
      <c r="R50">
        <f>H50</f>
        <v>95.56</v>
      </c>
    </row>
    <row r="51" spans="1:26" ht="14.25" x14ac:dyDescent="0.2">
      <c r="A51" s="44"/>
      <c r="B51" s="45"/>
      <c r="C51" s="45" t="s">
        <v>693</v>
      </c>
      <c r="D51" s="28"/>
      <c r="E51" s="10"/>
      <c r="F51" s="29">
        <f>Source!AL30</f>
        <v>5335.4</v>
      </c>
      <c r="G51" s="30" t="str">
        <f>Source!DD30</f>
        <v/>
      </c>
      <c r="H51" s="29">
        <f>ROUND(Source!AC30*Source!I30, 2)</f>
        <v>6434.49</v>
      </c>
      <c r="I51" s="30"/>
      <c r="J51" s="30">
        <f>IF(Source!BC30&lt;&gt; 0, Source!BC30, 1)</f>
        <v>6.61</v>
      </c>
      <c r="K51" s="29">
        <f>Source!P30</f>
        <v>42531.99</v>
      </c>
      <c r="L51" s="31"/>
    </row>
    <row r="52" spans="1:26" ht="14.25" x14ac:dyDescent="0.2">
      <c r="A52" s="44"/>
      <c r="B52" s="45"/>
      <c r="C52" s="45" t="s">
        <v>687</v>
      </c>
      <c r="D52" s="28" t="s">
        <v>688</v>
      </c>
      <c r="E52" s="10">
        <f>Source!BZ30</f>
        <v>105</v>
      </c>
      <c r="F52" s="56" t="str">
        <f>CONCATENATE(" )", Source!DL30, Source!FT30, "=", Source!FX30)</f>
        <v xml:space="preserve"> )*0,9=94,5</v>
      </c>
      <c r="G52" s="69"/>
      <c r="H52" s="29">
        <f>SUM(S46:S54)</f>
        <v>1352.59</v>
      </c>
      <c r="I52" s="32"/>
      <c r="J52" s="27">
        <f>Source!AT30</f>
        <v>95</v>
      </c>
      <c r="K52" s="29">
        <f>SUM(T46:T54)</f>
        <v>8987.9500000000007</v>
      </c>
      <c r="L52" s="31"/>
    </row>
    <row r="53" spans="1:26" ht="14.25" x14ac:dyDescent="0.2">
      <c r="A53" s="44"/>
      <c r="B53" s="45"/>
      <c r="C53" s="45" t="s">
        <v>689</v>
      </c>
      <c r="D53" s="28" t="s">
        <v>688</v>
      </c>
      <c r="E53" s="10">
        <f>Source!CA30</f>
        <v>55</v>
      </c>
      <c r="F53" s="56" t="str">
        <f>CONCATENATE(" )", Source!DM30, Source!FU30, "=", Source!FY30)</f>
        <v xml:space="preserve"> )*0,85=46,75</v>
      </c>
      <c r="G53" s="69"/>
      <c r="H53" s="29">
        <f>SUM(U46:U54)</f>
        <v>669.14</v>
      </c>
      <c r="I53" s="32"/>
      <c r="J53" s="27">
        <f>Source!AU30</f>
        <v>47</v>
      </c>
      <c r="K53" s="29">
        <f>SUM(V46:V54)</f>
        <v>4446.67</v>
      </c>
      <c r="L53" s="31"/>
    </row>
    <row r="54" spans="1:26" ht="14.25" x14ac:dyDescent="0.2">
      <c r="A54" s="46"/>
      <c r="B54" s="47"/>
      <c r="C54" s="47" t="s">
        <v>690</v>
      </c>
      <c r="D54" s="33" t="s">
        <v>691</v>
      </c>
      <c r="E54" s="34">
        <f>Source!AQ30</f>
        <v>102.46</v>
      </c>
      <c r="F54" s="35"/>
      <c r="G54" s="36" t="str">
        <f>Source!DI30</f>
        <v>)*1,15</v>
      </c>
      <c r="H54" s="35"/>
      <c r="I54" s="36"/>
      <c r="J54" s="36"/>
      <c r="K54" s="35"/>
      <c r="L54" s="37">
        <f>Source!U30</f>
        <v>142.10177399999998</v>
      </c>
    </row>
    <row r="55" spans="1:26" ht="15" x14ac:dyDescent="0.25">
      <c r="G55" s="68">
        <f>H48+H49+H51+H52+H53</f>
        <v>10281.469999999999</v>
      </c>
      <c r="H55" s="68"/>
      <c r="J55" s="68">
        <f>K48+K49+K51+K52+K53</f>
        <v>68031.56</v>
      </c>
      <c r="K55" s="68"/>
      <c r="L55" s="38">
        <f>Source!U30</f>
        <v>142.10177399999998</v>
      </c>
      <c r="O55" s="24">
        <f>G55</f>
        <v>10281.469999999999</v>
      </c>
      <c r="P55" s="24">
        <f>J55</f>
        <v>68031.56</v>
      </c>
      <c r="Q55" s="24">
        <f>L55</f>
        <v>142.10177399999998</v>
      </c>
      <c r="W55">
        <f>IF(Source!BI30&lt;=1,H48+H49+H51+H52+H53, 0)</f>
        <v>10281.469999999999</v>
      </c>
      <c r="X55">
        <f>IF(Source!BI30=2,H48+H49+H51+H52+H53, 0)</f>
        <v>0</v>
      </c>
      <c r="Y55">
        <f>IF(Source!BI30=3,H48+H49+H51+H52+H53, 0)</f>
        <v>0</v>
      </c>
      <c r="Z55">
        <f>IF(Source!BI30=4,H48+H49+H51+H52+H53, 0)</f>
        <v>0</v>
      </c>
    </row>
    <row r="56" spans="1:26" ht="14.25" x14ac:dyDescent="0.2">
      <c r="A56" s="44" t="str">
        <f>Source!E31</f>
        <v>4</v>
      </c>
      <c r="B56" s="45" t="str">
        <f>Source!F31</f>
        <v>65-33-1</v>
      </c>
      <c r="C56" s="45" t="str">
        <f>Source!G31</f>
        <v>Смена жалюзийных решеток</v>
      </c>
      <c r="D56" s="28" t="str">
        <f>Source!H31</f>
        <v>100 ШТ</v>
      </c>
      <c r="E56" s="10">
        <f>Source!I31</f>
        <v>0.06</v>
      </c>
      <c r="F56" s="29">
        <f>Source!AL31+Source!AM31+Source!AO31</f>
        <v>430.86</v>
      </c>
      <c r="G56" s="30"/>
      <c r="H56" s="29"/>
      <c r="I56" s="30" t="str">
        <f>Source!BO31</f>
        <v/>
      </c>
      <c r="J56" s="30"/>
      <c r="K56" s="29"/>
      <c r="L56" s="31"/>
      <c r="S56">
        <f>ROUND((Source!FX31/100)*((ROUND(Source!AF31*Source!I31, 2)+ROUND(Source!AE31*Source!I31, 2))), 2)</f>
        <v>24.36</v>
      </c>
      <c r="T56">
        <f>Source!X31</f>
        <v>161.01</v>
      </c>
      <c r="U56">
        <f>ROUND((Source!FY31/100)*((ROUND(Source!AF31*Source!I31, 2)+ROUND(Source!AE31*Source!I31, 2))), 2)</f>
        <v>14.19</v>
      </c>
      <c r="V56">
        <f>Source!Y31</f>
        <v>93.79</v>
      </c>
    </row>
    <row r="57" spans="1:26" x14ac:dyDescent="0.2">
      <c r="C57" s="23" t="str">
        <f>"Объем: "&amp;Source!I31&amp;"=6/"&amp;"100"</f>
        <v>Объем: 0,06=6/100</v>
      </c>
    </row>
    <row r="58" spans="1:26" ht="14.25" x14ac:dyDescent="0.2">
      <c r="A58" s="44"/>
      <c r="B58" s="45"/>
      <c r="C58" s="45" t="s">
        <v>686</v>
      </c>
      <c r="D58" s="28"/>
      <c r="E58" s="10"/>
      <c r="F58" s="29">
        <f>Source!AO31</f>
        <v>394</v>
      </c>
      <c r="G58" s="30" t="str">
        <f>Source!DG31</f>
        <v/>
      </c>
      <c r="H58" s="29">
        <f>ROUND(Source!AF31*Source!I31, 2)</f>
        <v>23.64</v>
      </c>
      <c r="I58" s="30"/>
      <c r="J58" s="30">
        <f>IF(Source!BA31&lt;&gt; 0, Source!BA31, 1)</f>
        <v>6.61</v>
      </c>
      <c r="K58" s="29">
        <f>Source!S31</f>
        <v>156.26</v>
      </c>
      <c r="L58" s="31"/>
      <c r="R58">
        <f>H58</f>
        <v>23.64</v>
      </c>
    </row>
    <row r="59" spans="1:26" ht="14.25" x14ac:dyDescent="0.2">
      <c r="A59" s="44"/>
      <c r="B59" s="45"/>
      <c r="C59" s="45" t="s">
        <v>222</v>
      </c>
      <c r="D59" s="28"/>
      <c r="E59" s="10"/>
      <c r="F59" s="29">
        <f>Source!AM31</f>
        <v>0.31</v>
      </c>
      <c r="G59" s="30" t="str">
        <f>Source!DE31</f>
        <v/>
      </c>
      <c r="H59" s="29">
        <f>ROUND(Source!AD31*Source!I31, 2)</f>
        <v>0.02</v>
      </c>
      <c r="I59" s="30"/>
      <c r="J59" s="30">
        <f>IF(Source!BB31&lt;&gt; 0, Source!BB31, 1)</f>
        <v>6.61</v>
      </c>
      <c r="K59" s="29">
        <f>Source!Q31</f>
        <v>0.12</v>
      </c>
      <c r="L59" s="31"/>
    </row>
    <row r="60" spans="1:26" ht="14.25" x14ac:dyDescent="0.2">
      <c r="A60" s="44"/>
      <c r="B60" s="45"/>
      <c r="C60" s="45" t="s">
        <v>692</v>
      </c>
      <c r="D60" s="28"/>
      <c r="E60" s="10"/>
      <c r="F60" s="29">
        <f>Source!AN31</f>
        <v>0.14000000000000001</v>
      </c>
      <c r="G60" s="30" t="str">
        <f>Source!DF31</f>
        <v/>
      </c>
      <c r="H60" s="39">
        <f>ROUND(Source!AE31*Source!I31, 2)</f>
        <v>0.01</v>
      </c>
      <c r="I60" s="30"/>
      <c r="J60" s="30">
        <f>IF(Source!BS31&lt;&gt; 0, Source!BS31, 1)</f>
        <v>6.61</v>
      </c>
      <c r="K60" s="39">
        <f>Source!R31</f>
        <v>0.06</v>
      </c>
      <c r="L60" s="31"/>
      <c r="R60">
        <f>H60</f>
        <v>0.01</v>
      </c>
    </row>
    <row r="61" spans="1:26" ht="14.25" x14ac:dyDescent="0.2">
      <c r="A61" s="44"/>
      <c r="B61" s="45"/>
      <c r="C61" s="45" t="s">
        <v>693</v>
      </c>
      <c r="D61" s="28"/>
      <c r="E61" s="10"/>
      <c r="F61" s="29">
        <f>Source!AL31</f>
        <v>36.549999999999997</v>
      </c>
      <c r="G61" s="30" t="str">
        <f>Source!DD31</f>
        <v/>
      </c>
      <c r="H61" s="29">
        <f>ROUND(Source!AC31*Source!I31, 2)</f>
        <v>2.19</v>
      </c>
      <c r="I61" s="30"/>
      <c r="J61" s="30">
        <f>IF(Source!BC31&lt;&gt; 0, Source!BC31, 1)</f>
        <v>6.61</v>
      </c>
      <c r="K61" s="29">
        <f>Source!P31</f>
        <v>14.5</v>
      </c>
      <c r="L61" s="31"/>
    </row>
    <row r="62" spans="1:26" ht="14.25" x14ac:dyDescent="0.2">
      <c r="A62" s="44"/>
      <c r="B62" s="45"/>
      <c r="C62" s="45" t="s">
        <v>687</v>
      </c>
      <c r="D62" s="28" t="s">
        <v>688</v>
      </c>
      <c r="E62" s="10">
        <f>Source!BZ31</f>
        <v>103</v>
      </c>
      <c r="F62" s="48"/>
      <c r="G62" s="30"/>
      <c r="H62" s="29">
        <f>SUM(S56:S66)</f>
        <v>24.36</v>
      </c>
      <c r="I62" s="32"/>
      <c r="J62" s="27">
        <f>Source!AT31</f>
        <v>103</v>
      </c>
      <c r="K62" s="29">
        <f>SUM(T56:T66)</f>
        <v>161.01</v>
      </c>
      <c r="L62" s="31"/>
    </row>
    <row r="63" spans="1:26" ht="14.25" x14ac:dyDescent="0.2">
      <c r="A63" s="44"/>
      <c r="B63" s="45"/>
      <c r="C63" s="45" t="s">
        <v>689</v>
      </c>
      <c r="D63" s="28" t="s">
        <v>688</v>
      </c>
      <c r="E63" s="10">
        <f>Source!CA31</f>
        <v>60</v>
      </c>
      <c r="F63" s="48"/>
      <c r="G63" s="30"/>
      <c r="H63" s="29">
        <f>SUM(U56:U66)</f>
        <v>14.19</v>
      </c>
      <c r="I63" s="32"/>
      <c r="J63" s="27">
        <f>Source!AU31</f>
        <v>60</v>
      </c>
      <c r="K63" s="29">
        <f>SUM(V56:V66)</f>
        <v>93.79</v>
      </c>
      <c r="L63" s="31"/>
    </row>
    <row r="64" spans="1:26" ht="14.25" x14ac:dyDescent="0.2">
      <c r="A64" s="44"/>
      <c r="B64" s="45"/>
      <c r="C64" s="45" t="s">
        <v>690</v>
      </c>
      <c r="D64" s="28" t="s">
        <v>691</v>
      </c>
      <c r="E64" s="10">
        <f>Source!AQ31</f>
        <v>46.19</v>
      </c>
      <c r="F64" s="29"/>
      <c r="G64" s="30" t="str">
        <f>Source!DI31</f>
        <v/>
      </c>
      <c r="H64" s="29"/>
      <c r="I64" s="30"/>
      <c r="J64" s="30"/>
      <c r="K64" s="29"/>
      <c r="L64" s="40">
        <f>Source!U31</f>
        <v>2.7713999999999999</v>
      </c>
    </row>
    <row r="65" spans="1:26" ht="42.75" x14ac:dyDescent="0.2">
      <c r="A65" s="44" t="str">
        <f>Source!E32</f>
        <v>4,1</v>
      </c>
      <c r="B65" s="45" t="str">
        <f>Source!F32</f>
        <v>19.2.03.07-0006</v>
      </c>
      <c r="C65" s="45" t="str">
        <f>Source!G32</f>
        <v>Решетка вентиляционная пластмассовая размером 300х900 мм прим.</v>
      </c>
      <c r="D65" s="28" t="str">
        <f>Source!H32</f>
        <v>шт.</v>
      </c>
      <c r="E65" s="10">
        <f>Source!I32</f>
        <v>6</v>
      </c>
      <c r="F65" s="29">
        <f>Source!AL32+Source!AM32+Source!AO32</f>
        <v>18.670000000000002</v>
      </c>
      <c r="G65" s="41" t="s">
        <v>3</v>
      </c>
      <c r="H65" s="29">
        <f>ROUND(Source!AC32*Source!I32, 2)+ROUND(Source!AD32*Source!I32, 2)+ROUND(Source!AF32*Source!I32, 2)</f>
        <v>112.02</v>
      </c>
      <c r="I65" s="30"/>
      <c r="J65" s="30">
        <f>IF(Source!BC32&lt;&gt; 0, Source!BC32, 1)</f>
        <v>6.61</v>
      </c>
      <c r="K65" s="29">
        <f>Source!O32</f>
        <v>740.45</v>
      </c>
      <c r="L65" s="31"/>
      <c r="S65">
        <f>ROUND((Source!FX32/100)*((ROUND(Source!AF32*Source!I32, 2)+ROUND(Source!AE32*Source!I32, 2))), 2)</f>
        <v>0</v>
      </c>
      <c r="T65">
        <f>Source!X32</f>
        <v>0</v>
      </c>
      <c r="U65">
        <f>ROUND((Source!FY32/100)*((ROUND(Source!AF32*Source!I32, 2)+ROUND(Source!AE32*Source!I32, 2))), 2)</f>
        <v>0</v>
      </c>
      <c r="V65">
        <f>Source!Y32</f>
        <v>0</v>
      </c>
      <c r="W65">
        <f>IF(Source!BI32&lt;=1,H65, 0)</f>
        <v>112.02</v>
      </c>
      <c r="X65">
        <f>IF(Source!BI32=2,H65, 0)</f>
        <v>0</v>
      </c>
      <c r="Y65">
        <f>IF(Source!BI32=3,H65, 0)</f>
        <v>0</v>
      </c>
      <c r="Z65">
        <f>IF(Source!BI32=4,H65, 0)</f>
        <v>0</v>
      </c>
    </row>
    <row r="66" spans="1:26" ht="14.25" x14ac:dyDescent="0.2">
      <c r="A66" s="46" t="str">
        <f>Source!E33</f>
        <v>4,2</v>
      </c>
      <c r="B66" s="47" t="str">
        <f>Source!F33</f>
        <v>19.2.03.09</v>
      </c>
      <c r="C66" s="47" t="str">
        <f>Source!G33</f>
        <v>Решетки жалюзийные</v>
      </c>
      <c r="D66" s="33" t="str">
        <f>Source!H33</f>
        <v>шт.</v>
      </c>
      <c r="E66" s="34">
        <f>Source!I33</f>
        <v>6</v>
      </c>
      <c r="F66" s="35">
        <f>Source!AL33+Source!AM33+Source!AO33</f>
        <v>0</v>
      </c>
      <c r="G66" s="42" t="s">
        <v>3</v>
      </c>
      <c r="H66" s="35">
        <f>ROUND(Source!AC33*Source!I33, 2)+ROUND(Source!AD33*Source!I33, 2)+ROUND(Source!AF33*Source!I33, 2)</f>
        <v>0</v>
      </c>
      <c r="I66" s="36"/>
      <c r="J66" s="36">
        <f>IF(Source!BC33&lt;&gt; 0, Source!BC33, 1)</f>
        <v>6.61</v>
      </c>
      <c r="K66" s="35">
        <f>Source!O33</f>
        <v>0</v>
      </c>
      <c r="L66" s="43"/>
      <c r="S66">
        <f>ROUND((Source!FX33/100)*((ROUND(Source!AF33*Source!I33, 2)+ROUND(Source!AE33*Source!I33, 2))), 2)</f>
        <v>0</v>
      </c>
      <c r="T66">
        <f>Source!X33</f>
        <v>0</v>
      </c>
      <c r="U66">
        <f>ROUND((Source!FY33/100)*((ROUND(Source!AF33*Source!I33, 2)+ROUND(Source!AE33*Source!I33, 2))), 2)</f>
        <v>0</v>
      </c>
      <c r="V66">
        <f>Source!Y33</f>
        <v>0</v>
      </c>
      <c r="W66">
        <f>IF(Source!BI33&lt;=1,H66, 0)</f>
        <v>0</v>
      </c>
      <c r="X66">
        <f>IF(Source!BI33=2,H66, 0)</f>
        <v>0</v>
      </c>
      <c r="Y66">
        <f>IF(Source!BI33=3,H66, 0)</f>
        <v>0</v>
      </c>
      <c r="Z66">
        <f>IF(Source!BI33=4,H66, 0)</f>
        <v>0</v>
      </c>
    </row>
    <row r="67" spans="1:26" ht="15" x14ac:dyDescent="0.25">
      <c r="G67" s="68">
        <f>H58+H59+H61+H62+H63+SUM(H65:H66)</f>
        <v>176.42000000000002</v>
      </c>
      <c r="H67" s="68"/>
      <c r="J67" s="68">
        <f>K58+K59+K61+K62+K63+SUM(K65:K66)</f>
        <v>1166.1300000000001</v>
      </c>
      <c r="K67" s="68"/>
      <c r="L67" s="38">
        <f>Source!U31</f>
        <v>2.7713999999999999</v>
      </c>
      <c r="O67" s="24">
        <f>G67</f>
        <v>176.42000000000002</v>
      </c>
      <c r="P67" s="24">
        <f>J67</f>
        <v>1166.1300000000001</v>
      </c>
      <c r="Q67" s="24">
        <f>L67</f>
        <v>2.7713999999999999</v>
      </c>
      <c r="W67">
        <f>IF(Source!BI31&lt;=1,H58+H59+H61+H62+H63, 0)</f>
        <v>64.400000000000006</v>
      </c>
      <c r="X67">
        <f>IF(Source!BI31=2,H58+H59+H61+H62+H63, 0)</f>
        <v>0</v>
      </c>
      <c r="Y67">
        <f>IF(Source!BI31=3,H58+H59+H61+H62+H63, 0)</f>
        <v>0</v>
      </c>
      <c r="Z67">
        <f>IF(Source!BI31=4,H58+H59+H61+H62+H63, 0)</f>
        <v>0</v>
      </c>
    </row>
    <row r="68" spans="1:26" ht="42.75" x14ac:dyDescent="0.2">
      <c r="A68" s="44" t="str">
        <f>Source!E34</f>
        <v>5</v>
      </c>
      <c r="B68" s="45" t="str">
        <f>Source!F34</f>
        <v>57-11-6</v>
      </c>
      <c r="C68" s="45" t="str">
        <f>Source!G34</f>
        <v>Устройство оснований под покрытие пола из древесно-стружечных плит площадью свыше 20 м2</v>
      </c>
      <c r="D68" s="28" t="str">
        <f>Source!H34</f>
        <v>100 м2</v>
      </c>
      <c r="E68" s="10">
        <f>Source!I34</f>
        <v>1.206</v>
      </c>
      <c r="F68" s="29">
        <f>Source!AL34+Source!AM34+Source!AO34</f>
        <v>3758.0599999999995</v>
      </c>
      <c r="G68" s="30"/>
      <c r="H68" s="29"/>
      <c r="I68" s="30" t="str">
        <f>Source!BO34</f>
        <v/>
      </c>
      <c r="J68" s="30"/>
      <c r="K68" s="29"/>
      <c r="L68" s="31"/>
      <c r="S68">
        <f>ROUND((Source!FX34/100)*((ROUND(Source!AF34*Source!I34, 2)+ROUND(Source!AE34*Source!I34, 2))), 2)</f>
        <v>307.83</v>
      </c>
      <c r="T68">
        <f>Source!X34</f>
        <v>2034.75</v>
      </c>
      <c r="U68">
        <f>ROUND((Source!FY34/100)*((ROUND(Source!AF34*Source!I34, 2)+ROUND(Source!AE34*Source!I34, 2))), 2)</f>
        <v>261.66000000000003</v>
      </c>
      <c r="V68">
        <f>Source!Y34</f>
        <v>1729.54</v>
      </c>
    </row>
    <row r="69" spans="1:26" x14ac:dyDescent="0.2">
      <c r="C69" s="23" t="str">
        <f>"Объем: "&amp;Source!I34&amp;"=120,6/"&amp;"100"</f>
        <v>Объем: 1,206=120,6/100</v>
      </c>
    </row>
    <row r="70" spans="1:26" ht="14.25" x14ac:dyDescent="0.2">
      <c r="A70" s="44"/>
      <c r="B70" s="45"/>
      <c r="C70" s="45" t="s">
        <v>686</v>
      </c>
      <c r="D70" s="28"/>
      <c r="E70" s="10"/>
      <c r="F70" s="29">
        <f>Source!AO34</f>
        <v>316.77999999999997</v>
      </c>
      <c r="G70" s="30" t="str">
        <f>Source!DG34</f>
        <v/>
      </c>
      <c r="H70" s="29">
        <f>ROUND(Source!AF34*Source!I34, 2)</f>
        <v>382.04</v>
      </c>
      <c r="I70" s="30"/>
      <c r="J70" s="30">
        <f>IF(Source!BA34&lt;&gt; 0, Source!BA34, 1)</f>
        <v>6.61</v>
      </c>
      <c r="K70" s="29">
        <f>Source!S34</f>
        <v>2525.2600000000002</v>
      </c>
      <c r="L70" s="31"/>
      <c r="R70">
        <f>H70</f>
        <v>382.04</v>
      </c>
    </row>
    <row r="71" spans="1:26" ht="14.25" x14ac:dyDescent="0.2">
      <c r="A71" s="44"/>
      <c r="B71" s="45"/>
      <c r="C71" s="45" t="s">
        <v>222</v>
      </c>
      <c r="D71" s="28"/>
      <c r="E71" s="10"/>
      <c r="F71" s="29">
        <f>Source!AM34</f>
        <v>8.39</v>
      </c>
      <c r="G71" s="30" t="str">
        <f>Source!DE34</f>
        <v/>
      </c>
      <c r="H71" s="29">
        <f>ROUND(Source!AD34*Source!I34, 2)</f>
        <v>10.119999999999999</v>
      </c>
      <c r="I71" s="30"/>
      <c r="J71" s="30">
        <f>IF(Source!BB34&lt;&gt; 0, Source!BB34, 1)</f>
        <v>6.61</v>
      </c>
      <c r="K71" s="29">
        <f>Source!Q34</f>
        <v>66.88</v>
      </c>
      <c r="L71" s="31"/>
    </row>
    <row r="72" spans="1:26" ht="14.25" x14ac:dyDescent="0.2">
      <c r="A72" s="44"/>
      <c r="B72" s="45"/>
      <c r="C72" s="45" t="s">
        <v>692</v>
      </c>
      <c r="D72" s="28"/>
      <c r="E72" s="10"/>
      <c r="F72" s="29">
        <f>Source!AN34</f>
        <v>2.2799999999999998</v>
      </c>
      <c r="G72" s="30" t="str">
        <f>Source!DF34</f>
        <v/>
      </c>
      <c r="H72" s="39">
        <f>ROUND(Source!AE34*Source!I34, 2)</f>
        <v>2.75</v>
      </c>
      <c r="I72" s="30"/>
      <c r="J72" s="30">
        <f>IF(Source!BS34&lt;&gt; 0, Source!BS34, 1)</f>
        <v>6.61</v>
      </c>
      <c r="K72" s="39">
        <f>Source!R34</f>
        <v>18.18</v>
      </c>
      <c r="L72" s="31"/>
      <c r="R72">
        <f>H72</f>
        <v>2.75</v>
      </c>
    </row>
    <row r="73" spans="1:26" ht="14.25" x14ac:dyDescent="0.2">
      <c r="A73" s="44"/>
      <c r="B73" s="45"/>
      <c r="C73" s="45" t="s">
        <v>693</v>
      </c>
      <c r="D73" s="28"/>
      <c r="E73" s="10"/>
      <c r="F73" s="29">
        <f>Source!AL34</f>
        <v>3432.89</v>
      </c>
      <c r="G73" s="30" t="str">
        <f>Source!DD34</f>
        <v/>
      </c>
      <c r="H73" s="29">
        <f>ROUND(Source!AC34*Source!I34, 2)</f>
        <v>4140.07</v>
      </c>
      <c r="I73" s="30"/>
      <c r="J73" s="30">
        <f>IF(Source!BC34&lt;&gt; 0, Source!BC34, 1)</f>
        <v>6.61</v>
      </c>
      <c r="K73" s="29">
        <f>Source!P34</f>
        <v>27365.83</v>
      </c>
      <c r="L73" s="31"/>
    </row>
    <row r="74" spans="1:26" ht="14.25" x14ac:dyDescent="0.2">
      <c r="A74" s="44"/>
      <c r="B74" s="45"/>
      <c r="C74" s="45" t="s">
        <v>687</v>
      </c>
      <c r="D74" s="28" t="s">
        <v>688</v>
      </c>
      <c r="E74" s="10">
        <f>Source!BZ34</f>
        <v>80</v>
      </c>
      <c r="F74" s="48"/>
      <c r="G74" s="30"/>
      <c r="H74" s="29">
        <f>SUM(S68:S76)</f>
        <v>307.83</v>
      </c>
      <c r="I74" s="32"/>
      <c r="J74" s="27">
        <f>Source!AT34</f>
        <v>80</v>
      </c>
      <c r="K74" s="29">
        <f>SUM(T68:T76)</f>
        <v>2034.75</v>
      </c>
      <c r="L74" s="31"/>
    </row>
    <row r="75" spans="1:26" ht="14.25" x14ac:dyDescent="0.2">
      <c r="A75" s="44"/>
      <c r="B75" s="45"/>
      <c r="C75" s="45" t="s">
        <v>689</v>
      </c>
      <c r="D75" s="28" t="s">
        <v>688</v>
      </c>
      <c r="E75" s="10">
        <f>Source!CA34</f>
        <v>68</v>
      </c>
      <c r="F75" s="48"/>
      <c r="G75" s="30"/>
      <c r="H75" s="29">
        <f>SUM(U68:U76)</f>
        <v>261.66000000000003</v>
      </c>
      <c r="I75" s="32"/>
      <c r="J75" s="27">
        <f>Source!AU34</f>
        <v>68</v>
      </c>
      <c r="K75" s="29">
        <f>SUM(V68:V76)</f>
        <v>1729.54</v>
      </c>
      <c r="L75" s="31"/>
    </row>
    <row r="76" spans="1:26" ht="14.25" x14ac:dyDescent="0.2">
      <c r="A76" s="46"/>
      <c r="B76" s="47"/>
      <c r="C76" s="47" t="s">
        <v>690</v>
      </c>
      <c r="D76" s="33" t="s">
        <v>691</v>
      </c>
      <c r="E76" s="34">
        <f>Source!AQ34</f>
        <v>38.119999999999997</v>
      </c>
      <c r="F76" s="35"/>
      <c r="G76" s="36" t="str">
        <f>Source!DI34</f>
        <v/>
      </c>
      <c r="H76" s="35"/>
      <c r="I76" s="36"/>
      <c r="J76" s="36"/>
      <c r="K76" s="35"/>
      <c r="L76" s="37">
        <f>Source!U34</f>
        <v>45.972719999999995</v>
      </c>
    </row>
    <row r="77" spans="1:26" ht="15" x14ac:dyDescent="0.25">
      <c r="G77" s="68">
        <f>H70+H71+H73+H74+H75</f>
        <v>5101.7199999999993</v>
      </c>
      <c r="H77" s="68"/>
      <c r="J77" s="68">
        <f>K70+K71+K73+K74+K75</f>
        <v>33722.26</v>
      </c>
      <c r="K77" s="68"/>
      <c r="L77" s="38">
        <f>Source!U34</f>
        <v>45.972719999999995</v>
      </c>
      <c r="O77" s="24">
        <f>G77</f>
        <v>5101.7199999999993</v>
      </c>
      <c r="P77" s="24">
        <f>J77</f>
        <v>33722.26</v>
      </c>
      <c r="Q77" s="24">
        <f>L77</f>
        <v>45.972719999999995</v>
      </c>
      <c r="W77">
        <f>IF(Source!BI34&lt;=1,H70+H71+H73+H74+H75, 0)</f>
        <v>5101.7199999999993</v>
      </c>
      <c r="X77">
        <f>IF(Source!BI34=2,H70+H71+H73+H74+H75, 0)</f>
        <v>0</v>
      </c>
      <c r="Y77">
        <f>IF(Source!BI34=3,H70+H71+H73+H74+H75, 0)</f>
        <v>0</v>
      </c>
      <c r="Z77">
        <f>IF(Source!BI34=4,H70+H71+H73+H74+H75, 0)</f>
        <v>0</v>
      </c>
    </row>
    <row r="78" spans="1:26" ht="28.5" x14ac:dyDescent="0.2">
      <c r="A78" s="44" t="str">
        <f>Source!E35</f>
        <v>6</v>
      </c>
      <c r="B78" s="45" t="str">
        <f>Source!F35</f>
        <v>11-01-036-01</v>
      </c>
      <c r="C78" s="45" t="str">
        <f>Source!G35</f>
        <v>Устройство покрытий из линолеума на клее</v>
      </c>
      <c r="D78" s="28" t="str">
        <f>Source!H35</f>
        <v>100 м2</v>
      </c>
      <c r="E78" s="10">
        <f>Source!I35</f>
        <v>1.206</v>
      </c>
      <c r="F78" s="29">
        <f>Source!AL35+Source!AM35+Source!AO35</f>
        <v>397.04999999999995</v>
      </c>
      <c r="G78" s="30"/>
      <c r="H78" s="29"/>
      <c r="I78" s="30" t="str">
        <f>Source!BO35</f>
        <v/>
      </c>
      <c r="J78" s="30"/>
      <c r="K78" s="29"/>
      <c r="L78" s="31"/>
      <c r="S78">
        <f>ROUND((Source!FX35/100)*((ROUND(Source!AF35*Source!I35, 2)+ROUND(Source!AE35*Source!I35, 2))), 2)</f>
        <v>558.51</v>
      </c>
      <c r="T78">
        <f>Source!X35</f>
        <v>3701.79</v>
      </c>
      <c r="U78">
        <f>ROUND((Source!FY35/100)*((ROUND(Source!AF35*Source!I35, 2)+ROUND(Source!AE35*Source!I35, 2))), 2)</f>
        <v>321.64</v>
      </c>
      <c r="V78">
        <f>Source!Y35</f>
        <v>2134.37</v>
      </c>
    </row>
    <row r="79" spans="1:26" x14ac:dyDescent="0.2">
      <c r="C79" s="23" t="str">
        <f>"Объем: "&amp;Source!I35&amp;"=120,6/"&amp;"100"</f>
        <v>Объем: 1,206=120,6/100</v>
      </c>
    </row>
    <row r="80" spans="1:26" ht="14.25" x14ac:dyDescent="0.2">
      <c r="A80" s="44"/>
      <c r="B80" s="45"/>
      <c r="C80" s="45" t="s">
        <v>686</v>
      </c>
      <c r="D80" s="28"/>
      <c r="E80" s="10"/>
      <c r="F80" s="29">
        <f>Source!AO35</f>
        <v>352.34</v>
      </c>
      <c r="G80" s="30" t="str">
        <f>Source!DG35</f>
        <v>)*1,15</v>
      </c>
      <c r="H80" s="29">
        <f>ROUND(Source!AF35*Source!I35, 2)</f>
        <v>488.66</v>
      </c>
      <c r="I80" s="30"/>
      <c r="J80" s="30">
        <f>IF(Source!BA35&lt;&gt; 0, Source!BA35, 1)</f>
        <v>6.61</v>
      </c>
      <c r="K80" s="29">
        <f>Source!S35</f>
        <v>3230.04</v>
      </c>
      <c r="L80" s="31"/>
      <c r="R80">
        <f>H80</f>
        <v>488.66</v>
      </c>
    </row>
    <row r="81" spans="1:26" ht="14.25" x14ac:dyDescent="0.2">
      <c r="A81" s="44"/>
      <c r="B81" s="45"/>
      <c r="C81" s="45" t="s">
        <v>222</v>
      </c>
      <c r="D81" s="28"/>
      <c r="E81" s="10"/>
      <c r="F81" s="29">
        <f>Source!AM35</f>
        <v>43.8</v>
      </c>
      <c r="G81" s="30" t="str">
        <f>Source!DE35</f>
        <v>)*1,25</v>
      </c>
      <c r="H81" s="29">
        <f>ROUND(Source!AD35*Source!I35, 2)</f>
        <v>66.03</v>
      </c>
      <c r="I81" s="30"/>
      <c r="J81" s="30">
        <f>IF(Source!BB35&lt;&gt; 0, Source!BB35, 1)</f>
        <v>6.61</v>
      </c>
      <c r="K81" s="29">
        <f>Source!Q35</f>
        <v>436.45</v>
      </c>
      <c r="L81" s="31"/>
    </row>
    <row r="82" spans="1:26" ht="14.25" x14ac:dyDescent="0.2">
      <c r="A82" s="44"/>
      <c r="B82" s="45"/>
      <c r="C82" s="45" t="s">
        <v>692</v>
      </c>
      <c r="D82" s="28"/>
      <c r="E82" s="10"/>
      <c r="F82" s="29">
        <f>Source!AN35</f>
        <v>10.53</v>
      </c>
      <c r="G82" s="30" t="str">
        <f>Source!DF35</f>
        <v>)*1,25</v>
      </c>
      <c r="H82" s="39">
        <f>ROUND(Source!AE35*Source!I35, 2)</f>
        <v>15.87</v>
      </c>
      <c r="I82" s="30"/>
      <c r="J82" s="30">
        <f>IF(Source!BS35&lt;&gt; 0, Source!BS35, 1)</f>
        <v>6.61</v>
      </c>
      <c r="K82" s="39">
        <f>Source!R35</f>
        <v>104.91</v>
      </c>
      <c r="L82" s="31"/>
      <c r="R82">
        <f>H82</f>
        <v>15.87</v>
      </c>
    </row>
    <row r="83" spans="1:26" ht="14.25" x14ac:dyDescent="0.2">
      <c r="A83" s="44"/>
      <c r="B83" s="45"/>
      <c r="C83" s="45" t="s">
        <v>693</v>
      </c>
      <c r="D83" s="28"/>
      <c r="E83" s="10"/>
      <c r="F83" s="29">
        <f>Source!AL35</f>
        <v>0.91</v>
      </c>
      <c r="G83" s="30" t="str">
        <f>Source!DD35</f>
        <v/>
      </c>
      <c r="H83" s="29">
        <f>ROUND(Source!AC35*Source!I35, 2)</f>
        <v>1.1000000000000001</v>
      </c>
      <c r="I83" s="30"/>
      <c r="J83" s="30">
        <f>IF(Source!BC35&lt;&gt; 0, Source!BC35, 1)</f>
        <v>6.61</v>
      </c>
      <c r="K83" s="29">
        <f>Source!P35</f>
        <v>7.25</v>
      </c>
      <c r="L83" s="31"/>
    </row>
    <row r="84" spans="1:26" ht="14.25" x14ac:dyDescent="0.2">
      <c r="A84" s="44"/>
      <c r="B84" s="45"/>
      <c r="C84" s="45" t="s">
        <v>687</v>
      </c>
      <c r="D84" s="28" t="s">
        <v>688</v>
      </c>
      <c r="E84" s="10">
        <f>Source!BZ35</f>
        <v>123</v>
      </c>
      <c r="F84" s="56" t="str">
        <f>CONCATENATE(" )", Source!DL35, Source!FT35, "=", Source!FX35)</f>
        <v xml:space="preserve"> )*0,9=110,7</v>
      </c>
      <c r="G84" s="69"/>
      <c r="H84" s="29">
        <f>SUM(S78:S89)</f>
        <v>558.51</v>
      </c>
      <c r="I84" s="32"/>
      <c r="J84" s="27">
        <f>Source!AT35</f>
        <v>111</v>
      </c>
      <c r="K84" s="29">
        <f>SUM(T78:T89)</f>
        <v>3701.79</v>
      </c>
      <c r="L84" s="31"/>
    </row>
    <row r="85" spans="1:26" ht="14.25" x14ac:dyDescent="0.2">
      <c r="A85" s="44"/>
      <c r="B85" s="45"/>
      <c r="C85" s="45" t="s">
        <v>689</v>
      </c>
      <c r="D85" s="28" t="s">
        <v>688</v>
      </c>
      <c r="E85" s="10">
        <f>Source!CA35</f>
        <v>75</v>
      </c>
      <c r="F85" s="56" t="str">
        <f>CONCATENATE(" )", Source!DM35, Source!FU35, "=", Source!FY35)</f>
        <v xml:space="preserve"> )*0,85=63,75</v>
      </c>
      <c r="G85" s="69"/>
      <c r="H85" s="29">
        <f>SUM(U78:U89)</f>
        <v>321.64</v>
      </c>
      <c r="I85" s="32"/>
      <c r="J85" s="27">
        <f>Source!AU35</f>
        <v>64</v>
      </c>
      <c r="K85" s="29">
        <f>SUM(V78:V89)</f>
        <v>2134.37</v>
      </c>
      <c r="L85" s="31"/>
    </row>
    <row r="86" spans="1:26" ht="14.25" x14ac:dyDescent="0.2">
      <c r="A86" s="44"/>
      <c r="B86" s="45"/>
      <c r="C86" s="45" t="s">
        <v>690</v>
      </c>
      <c r="D86" s="28" t="s">
        <v>691</v>
      </c>
      <c r="E86" s="10">
        <f>Source!AQ35</f>
        <v>42.4</v>
      </c>
      <c r="F86" s="29"/>
      <c r="G86" s="30" t="str">
        <f>Source!DI35</f>
        <v>)*1,15</v>
      </c>
      <c r="H86" s="29"/>
      <c r="I86" s="30"/>
      <c r="J86" s="30"/>
      <c r="K86" s="29"/>
      <c r="L86" s="40">
        <f>Source!U35</f>
        <v>58.804559999999995</v>
      </c>
    </row>
    <row r="87" spans="1:26" ht="71.25" x14ac:dyDescent="0.2">
      <c r="A87" s="44" t="str">
        <f>Source!E36</f>
        <v>6,1</v>
      </c>
      <c r="B87" s="45" t="str">
        <f>Source!F36</f>
        <v>01.6.03.04-0116</v>
      </c>
      <c r="C87" s="45" t="str">
        <f>Source!G36</f>
        <v>Линолеум коммерческий гомогенный "ТАРКЕТТ Sprint Pro", антискользящий (толщина 2 мм, класс 32, пож. безопасность Г4, В3, РП1, Д2, Т2) прим.</v>
      </c>
      <c r="D87" s="28" t="str">
        <f>Source!H36</f>
        <v>м2</v>
      </c>
      <c r="E87" s="10">
        <f>Source!I36</f>
        <v>123.012</v>
      </c>
      <c r="F87" s="29">
        <f>Source!AL36+Source!AM36+Source!AO36</f>
        <v>181.33</v>
      </c>
      <c r="G87" s="41" t="s">
        <v>3</v>
      </c>
      <c r="H87" s="29">
        <f>ROUND(Source!AC36*Source!I36, 2)+ROUND(Source!AD36*Source!I36, 2)+ROUND(Source!AF36*Source!I36, 2)</f>
        <v>22305.77</v>
      </c>
      <c r="I87" s="30"/>
      <c r="J87" s="30">
        <f>IF(Source!BC36&lt;&gt; 0, Source!BC36, 1)</f>
        <v>6.61</v>
      </c>
      <c r="K87" s="29">
        <f>Source!O36</f>
        <v>147441.10999999999</v>
      </c>
      <c r="L87" s="31"/>
      <c r="S87">
        <f>ROUND((Source!FX36/100)*((ROUND(Source!AF36*Source!I36, 2)+ROUND(Source!AE36*Source!I36, 2))), 2)</f>
        <v>0</v>
      </c>
      <c r="T87">
        <f>Source!X36</f>
        <v>0</v>
      </c>
      <c r="U87">
        <f>ROUND((Source!FY36/100)*((ROUND(Source!AF36*Source!I36, 2)+ROUND(Source!AE36*Source!I36, 2))), 2)</f>
        <v>0</v>
      </c>
      <c r="V87">
        <f>Source!Y36</f>
        <v>0</v>
      </c>
      <c r="W87">
        <f>IF(Source!BI36&lt;=1,H87, 0)</f>
        <v>22305.77</v>
      </c>
      <c r="X87">
        <f>IF(Source!BI36=2,H87, 0)</f>
        <v>0</v>
      </c>
      <c r="Y87">
        <f>IF(Source!BI36=3,H87, 0)</f>
        <v>0</v>
      </c>
      <c r="Z87">
        <f>IF(Source!BI36=4,H87, 0)</f>
        <v>0</v>
      </c>
    </row>
    <row r="88" spans="1:26" ht="14.25" x14ac:dyDescent="0.2">
      <c r="A88" s="44" t="str">
        <f>Source!E37</f>
        <v>6,2</v>
      </c>
      <c r="B88" s="45" t="str">
        <f>Source!F37</f>
        <v>14.1.02.03-0001</v>
      </c>
      <c r="C88" s="45" t="str">
        <f>Source!G37</f>
        <v>Клей КН-2 прим.</v>
      </c>
      <c r="D88" s="28" t="str">
        <f>Source!H37</f>
        <v>т</v>
      </c>
      <c r="E88" s="10">
        <f>Source!I37</f>
        <v>6.0299999999999999E-2</v>
      </c>
      <c r="F88" s="29">
        <f>Source!AL37+Source!AM37+Source!AO37</f>
        <v>15900</v>
      </c>
      <c r="G88" s="41" t="s">
        <v>3</v>
      </c>
      <c r="H88" s="29">
        <f>ROUND(Source!AC37*Source!I37, 2)+ROUND(Source!AD37*Source!I37, 2)+ROUND(Source!AF37*Source!I37, 2)</f>
        <v>958.77</v>
      </c>
      <c r="I88" s="30"/>
      <c r="J88" s="30">
        <f>IF(Source!BC37&lt;&gt; 0, Source!BC37, 1)</f>
        <v>6.61</v>
      </c>
      <c r="K88" s="29">
        <f>Source!O37</f>
        <v>6337.47</v>
      </c>
      <c r="L88" s="31"/>
      <c r="S88">
        <f>ROUND((Source!FX37/100)*((ROUND(Source!AF37*Source!I37, 2)+ROUND(Source!AE37*Source!I37, 2))), 2)</f>
        <v>0</v>
      </c>
      <c r="T88">
        <f>Source!X37</f>
        <v>0</v>
      </c>
      <c r="U88">
        <f>ROUND((Source!FY37/100)*((ROUND(Source!AF37*Source!I37, 2)+ROUND(Source!AE37*Source!I37, 2))), 2)</f>
        <v>0</v>
      </c>
      <c r="V88">
        <f>Source!Y37</f>
        <v>0</v>
      </c>
      <c r="W88">
        <f>IF(Source!BI37&lt;=1,H88, 0)</f>
        <v>958.77</v>
      </c>
      <c r="X88">
        <f>IF(Source!BI37=2,H88, 0)</f>
        <v>0</v>
      </c>
      <c r="Y88">
        <f>IF(Source!BI37=3,H88, 0)</f>
        <v>0</v>
      </c>
      <c r="Z88">
        <f>IF(Source!BI37=4,H88, 0)</f>
        <v>0</v>
      </c>
    </row>
    <row r="89" spans="1:26" ht="14.25" x14ac:dyDescent="0.2">
      <c r="A89" s="46" t="str">
        <f>Source!E38</f>
        <v>6,3</v>
      </c>
      <c r="B89" s="47" t="str">
        <f>Source!F38</f>
        <v>14.1.06.05</v>
      </c>
      <c r="C89" s="47" t="str">
        <f>Source!G38</f>
        <v>Состав клеящий</v>
      </c>
      <c r="D89" s="33" t="str">
        <f>Source!H38</f>
        <v>кг</v>
      </c>
      <c r="E89" s="34">
        <f>Source!I38</f>
        <v>60.3</v>
      </c>
      <c r="F89" s="35">
        <f>Source!AL38+Source!AM38+Source!AO38</f>
        <v>0</v>
      </c>
      <c r="G89" s="42" t="s">
        <v>3</v>
      </c>
      <c r="H89" s="35">
        <f>ROUND(Source!AC38*Source!I38, 2)+ROUND(Source!AD38*Source!I38, 2)+ROUND(Source!AF38*Source!I38, 2)</f>
        <v>0</v>
      </c>
      <c r="I89" s="36"/>
      <c r="J89" s="36">
        <f>IF(Source!BC38&lt;&gt; 0, Source!BC38, 1)</f>
        <v>6.61</v>
      </c>
      <c r="K89" s="35">
        <f>Source!O38</f>
        <v>0</v>
      </c>
      <c r="L89" s="43"/>
      <c r="S89">
        <f>ROUND((Source!FX38/100)*((ROUND(Source!AF38*Source!I38, 2)+ROUND(Source!AE38*Source!I38, 2))), 2)</f>
        <v>0</v>
      </c>
      <c r="T89">
        <f>Source!X38</f>
        <v>0</v>
      </c>
      <c r="U89">
        <f>ROUND((Source!FY38/100)*((ROUND(Source!AF38*Source!I38, 2)+ROUND(Source!AE38*Source!I38, 2))), 2)</f>
        <v>0</v>
      </c>
      <c r="V89">
        <f>Source!Y38</f>
        <v>0</v>
      </c>
      <c r="W89">
        <f>IF(Source!BI38&lt;=1,H89, 0)</f>
        <v>0</v>
      </c>
      <c r="X89">
        <f>IF(Source!BI38=2,H89, 0)</f>
        <v>0</v>
      </c>
      <c r="Y89">
        <f>IF(Source!BI38=3,H89, 0)</f>
        <v>0</v>
      </c>
      <c r="Z89">
        <f>IF(Source!BI38=4,H89, 0)</f>
        <v>0</v>
      </c>
    </row>
    <row r="90" spans="1:26" ht="15" x14ac:dyDescent="0.25">
      <c r="G90" s="68">
        <f>H80+H81+H83+H84+H85+SUM(H87:H89)</f>
        <v>24700.48</v>
      </c>
      <c r="H90" s="68"/>
      <c r="J90" s="68">
        <f>K80+K81+K83+K84+K85+SUM(K87:K89)</f>
        <v>163288.47999999998</v>
      </c>
      <c r="K90" s="68"/>
      <c r="L90" s="38">
        <f>Source!U35</f>
        <v>58.804559999999995</v>
      </c>
      <c r="O90" s="24">
        <f>G90</f>
        <v>24700.48</v>
      </c>
      <c r="P90" s="24">
        <f>J90</f>
        <v>163288.47999999998</v>
      </c>
      <c r="Q90" s="24">
        <f>L90</f>
        <v>58.804559999999995</v>
      </c>
      <c r="W90">
        <f>IF(Source!BI35&lt;=1,H80+H81+H83+H84+H85, 0)</f>
        <v>1435.94</v>
      </c>
      <c r="X90">
        <f>IF(Source!BI35=2,H80+H81+H83+H84+H85, 0)</f>
        <v>0</v>
      </c>
      <c r="Y90">
        <f>IF(Source!BI35=3,H80+H81+H83+H84+H85, 0)</f>
        <v>0</v>
      </c>
      <c r="Z90">
        <f>IF(Source!BI35=4,H80+H81+H83+H84+H85, 0)</f>
        <v>0</v>
      </c>
    </row>
    <row r="91" spans="1:26" ht="42.75" x14ac:dyDescent="0.2">
      <c r="A91" s="44" t="str">
        <f>Source!E39</f>
        <v>7</v>
      </c>
      <c r="B91" s="45" t="str">
        <f>Source!F39</f>
        <v>11-01-040-03</v>
      </c>
      <c r="C91" s="45" t="str">
        <f>Source!G39</f>
        <v>Устройство плинтусов поливинилхлоридных на винтах самонарезающих</v>
      </c>
      <c r="D91" s="28" t="str">
        <f>Source!H39</f>
        <v>100 м</v>
      </c>
      <c r="E91" s="10">
        <f>Source!I39</f>
        <v>0.76780000000000004</v>
      </c>
      <c r="F91" s="29">
        <f>Source!AL39+Source!AM39+Source!AO39</f>
        <v>137.09</v>
      </c>
      <c r="G91" s="30"/>
      <c r="H91" s="29"/>
      <c r="I91" s="30" t="str">
        <f>Source!BO39</f>
        <v/>
      </c>
      <c r="J91" s="30"/>
      <c r="K91" s="29"/>
      <c r="L91" s="31"/>
      <c r="S91">
        <f>ROUND((Source!FX39/100)*((ROUND(Source!AF39*Source!I39, 2)+ROUND(Source!AE39*Source!I39, 2))), 2)</f>
        <v>60.4</v>
      </c>
      <c r="T91">
        <f>Source!X39</f>
        <v>400.25</v>
      </c>
      <c r="U91">
        <f>ROUND((Source!FY39/100)*((ROUND(Source!AF39*Source!I39, 2)+ROUND(Source!AE39*Source!I39, 2))), 2)</f>
        <v>34.78</v>
      </c>
      <c r="V91">
        <f>Source!Y39</f>
        <v>230.78</v>
      </c>
    </row>
    <row r="92" spans="1:26" x14ac:dyDescent="0.2">
      <c r="C92" s="23" t="str">
        <f>"Объем: "&amp;Source!I39&amp;"=76,78/"&amp;"100"</f>
        <v>Объем: 0,7678=76,78/100</v>
      </c>
    </row>
    <row r="93" spans="1:26" ht="14.25" x14ac:dyDescent="0.2">
      <c r="A93" s="44"/>
      <c r="B93" s="45"/>
      <c r="C93" s="45" t="s">
        <v>686</v>
      </c>
      <c r="D93" s="28"/>
      <c r="E93" s="10"/>
      <c r="F93" s="29">
        <f>Source!AO39</f>
        <v>61.32</v>
      </c>
      <c r="G93" s="30" t="str">
        <f>Source!DG39</f>
        <v>)*1,15</v>
      </c>
      <c r="H93" s="29">
        <f>ROUND(Source!AF39*Source!I39, 2)</f>
        <v>54.15</v>
      </c>
      <c r="I93" s="30"/>
      <c r="J93" s="30">
        <f>IF(Source!BA39&lt;&gt; 0, Source!BA39, 1)</f>
        <v>6.61</v>
      </c>
      <c r="K93" s="29">
        <f>Source!S39</f>
        <v>357.9</v>
      </c>
      <c r="L93" s="31"/>
      <c r="R93">
        <f>H93</f>
        <v>54.15</v>
      </c>
    </row>
    <row r="94" spans="1:26" ht="14.25" x14ac:dyDescent="0.2">
      <c r="A94" s="44"/>
      <c r="B94" s="45"/>
      <c r="C94" s="45" t="s">
        <v>222</v>
      </c>
      <c r="D94" s="28"/>
      <c r="E94" s="10"/>
      <c r="F94" s="29">
        <f>Source!AM39</f>
        <v>2.13</v>
      </c>
      <c r="G94" s="30" t="str">
        <f>Source!DE39</f>
        <v>)*1,25</v>
      </c>
      <c r="H94" s="29">
        <f>ROUND(Source!AD39*Source!I39, 2)</f>
        <v>2.0499999999999998</v>
      </c>
      <c r="I94" s="30"/>
      <c r="J94" s="30">
        <f>IF(Source!BB39&lt;&gt; 0, Source!BB39, 1)</f>
        <v>6.61</v>
      </c>
      <c r="K94" s="29">
        <f>Source!Q39</f>
        <v>13.55</v>
      </c>
      <c r="L94" s="31"/>
    </row>
    <row r="95" spans="1:26" ht="14.25" x14ac:dyDescent="0.2">
      <c r="A95" s="44"/>
      <c r="B95" s="45"/>
      <c r="C95" s="45" t="s">
        <v>692</v>
      </c>
      <c r="D95" s="28"/>
      <c r="E95" s="10"/>
      <c r="F95" s="29">
        <f>Source!AN39</f>
        <v>0.42</v>
      </c>
      <c r="G95" s="30" t="str">
        <f>Source!DF39</f>
        <v>)*1,25</v>
      </c>
      <c r="H95" s="39">
        <f>ROUND(Source!AE39*Source!I39, 2)</f>
        <v>0.41</v>
      </c>
      <c r="I95" s="30"/>
      <c r="J95" s="30">
        <f>IF(Source!BS39&lt;&gt; 0, Source!BS39, 1)</f>
        <v>6.61</v>
      </c>
      <c r="K95" s="39">
        <f>Source!R39</f>
        <v>2.69</v>
      </c>
      <c r="L95" s="31"/>
      <c r="R95">
        <f>H95</f>
        <v>0.41</v>
      </c>
    </row>
    <row r="96" spans="1:26" ht="14.25" x14ac:dyDescent="0.2">
      <c r="A96" s="44"/>
      <c r="B96" s="45"/>
      <c r="C96" s="45" t="s">
        <v>693</v>
      </c>
      <c r="D96" s="28"/>
      <c r="E96" s="10"/>
      <c r="F96" s="29">
        <f>Source!AL39</f>
        <v>73.64</v>
      </c>
      <c r="G96" s="30" t="str">
        <f>Source!DD39</f>
        <v/>
      </c>
      <c r="H96" s="29">
        <f>ROUND(Source!AC39*Source!I39, 2)</f>
        <v>56.54</v>
      </c>
      <c r="I96" s="30"/>
      <c r="J96" s="30">
        <f>IF(Source!BC39&lt;&gt; 0, Source!BC39, 1)</f>
        <v>6.61</v>
      </c>
      <c r="K96" s="29">
        <f>Source!P39</f>
        <v>373.73</v>
      </c>
      <c r="L96" s="31"/>
    </row>
    <row r="97" spans="1:26" ht="14.25" x14ac:dyDescent="0.2">
      <c r="A97" s="44"/>
      <c r="B97" s="45"/>
      <c r="C97" s="45" t="s">
        <v>687</v>
      </c>
      <c r="D97" s="28" t="s">
        <v>688</v>
      </c>
      <c r="E97" s="10">
        <f>Source!BZ39</f>
        <v>123</v>
      </c>
      <c r="F97" s="56" t="str">
        <f>CONCATENATE(" )", Source!DL39, Source!FT39, "=", Source!FX39)</f>
        <v xml:space="preserve"> )*0,9=110,7</v>
      </c>
      <c r="G97" s="69"/>
      <c r="H97" s="29">
        <f>SUM(S91:S105)</f>
        <v>60.4</v>
      </c>
      <c r="I97" s="32"/>
      <c r="J97" s="27">
        <f>Source!AT39</f>
        <v>111</v>
      </c>
      <c r="K97" s="29">
        <f>SUM(T91:T105)</f>
        <v>400.25</v>
      </c>
      <c r="L97" s="31"/>
    </row>
    <row r="98" spans="1:26" ht="14.25" x14ac:dyDescent="0.2">
      <c r="A98" s="44"/>
      <c r="B98" s="45"/>
      <c r="C98" s="45" t="s">
        <v>689</v>
      </c>
      <c r="D98" s="28" t="s">
        <v>688</v>
      </c>
      <c r="E98" s="10">
        <f>Source!CA39</f>
        <v>75</v>
      </c>
      <c r="F98" s="56" t="str">
        <f>CONCATENATE(" )", Source!DM39, Source!FU39, "=", Source!FY39)</f>
        <v xml:space="preserve"> )*0,85=63,75</v>
      </c>
      <c r="G98" s="69"/>
      <c r="H98" s="29">
        <f>SUM(U91:U105)</f>
        <v>34.78</v>
      </c>
      <c r="I98" s="32"/>
      <c r="J98" s="27">
        <f>Source!AU39</f>
        <v>64</v>
      </c>
      <c r="K98" s="29">
        <f>SUM(V91:V105)</f>
        <v>230.78</v>
      </c>
      <c r="L98" s="31"/>
    </row>
    <row r="99" spans="1:26" ht="14.25" x14ac:dyDescent="0.2">
      <c r="A99" s="44"/>
      <c r="B99" s="45"/>
      <c r="C99" s="45" t="s">
        <v>690</v>
      </c>
      <c r="D99" s="28" t="s">
        <v>691</v>
      </c>
      <c r="E99" s="10">
        <f>Source!AQ39</f>
        <v>6.68</v>
      </c>
      <c r="F99" s="29"/>
      <c r="G99" s="30" t="str">
        <f>Source!DI39</f>
        <v>)*1,15</v>
      </c>
      <c r="H99" s="29"/>
      <c r="I99" s="30"/>
      <c r="J99" s="30"/>
      <c r="K99" s="29"/>
      <c r="L99" s="40">
        <f>Source!U39</f>
        <v>5.8982396000000001</v>
      </c>
    </row>
    <row r="100" spans="1:26" ht="28.5" x14ac:dyDescent="0.2">
      <c r="A100" s="44" t="str">
        <f>Source!E40</f>
        <v>7,1</v>
      </c>
      <c r="B100" s="45" t="str">
        <f>Source!F40</f>
        <v>11.3.03.06-0001</v>
      </c>
      <c r="C100" s="45" t="str">
        <f>Source!G40</f>
        <v>Плинтуса для полов пластиковые, 19х48 мм</v>
      </c>
      <c r="D100" s="28" t="str">
        <f>Source!H40</f>
        <v>м</v>
      </c>
      <c r="E100" s="10">
        <f>Source!I40</f>
        <v>77.547799999999995</v>
      </c>
      <c r="F100" s="29">
        <f>Source!AL40+Source!AM40+Source!AO40</f>
        <v>12.3</v>
      </c>
      <c r="G100" s="41" t="s">
        <v>3</v>
      </c>
      <c r="H100" s="29">
        <f>ROUND(Source!AC40*Source!I40, 2)+ROUND(Source!AD40*Source!I40, 2)+ROUND(Source!AF40*Source!I40, 2)</f>
        <v>953.84</v>
      </c>
      <c r="I100" s="30"/>
      <c r="J100" s="30">
        <f>IF(Source!BC40&lt;&gt; 0, Source!BC40, 1)</f>
        <v>6.61</v>
      </c>
      <c r="K100" s="29">
        <f>Source!O40</f>
        <v>6304.87</v>
      </c>
      <c r="L100" s="31"/>
      <c r="S100">
        <f>ROUND((Source!FX40/100)*((ROUND(Source!AF40*Source!I40, 2)+ROUND(Source!AE40*Source!I40, 2))), 2)</f>
        <v>0</v>
      </c>
      <c r="T100">
        <f>Source!X40</f>
        <v>0</v>
      </c>
      <c r="U100">
        <f>ROUND((Source!FY40/100)*((ROUND(Source!AF40*Source!I40, 2)+ROUND(Source!AE40*Source!I40, 2))), 2)</f>
        <v>0</v>
      </c>
      <c r="V100">
        <f>Source!Y40</f>
        <v>0</v>
      </c>
      <c r="W100">
        <f>IF(Source!BI40&lt;=1,H100, 0)</f>
        <v>953.84</v>
      </c>
      <c r="X100">
        <f>IF(Source!BI40=2,H100, 0)</f>
        <v>0</v>
      </c>
      <c r="Y100">
        <f>IF(Source!BI40=3,H100, 0)</f>
        <v>0</v>
      </c>
      <c r="Z100">
        <f>IF(Source!BI40=4,H100, 0)</f>
        <v>0</v>
      </c>
    </row>
    <row r="101" spans="1:26" ht="28.5" x14ac:dyDescent="0.2">
      <c r="A101" s="44" t="str">
        <f>Source!E41</f>
        <v>7,2</v>
      </c>
      <c r="B101" s="45" t="str">
        <f>Source!F41</f>
        <v>11.3.03.14-0034</v>
      </c>
      <c r="C101" s="45" t="str">
        <f>Source!G41</f>
        <v>Уголок наружный для пластикового плинтуса, высота 49 мм</v>
      </c>
      <c r="D101" s="28" t="str">
        <f>Source!H41</f>
        <v>100 шт.</v>
      </c>
      <c r="E101" s="10">
        <f>Source!I41</f>
        <v>0.05</v>
      </c>
      <c r="F101" s="29">
        <f>Source!AL41+Source!AM41+Source!AO41</f>
        <v>128</v>
      </c>
      <c r="G101" s="41" t="s">
        <v>3</v>
      </c>
      <c r="H101" s="29">
        <f>ROUND(Source!AC41*Source!I41, 2)+ROUND(Source!AD41*Source!I41, 2)+ROUND(Source!AF41*Source!I41, 2)</f>
        <v>6.4</v>
      </c>
      <c r="I101" s="30"/>
      <c r="J101" s="30">
        <f>IF(Source!BC41&lt;&gt; 0, Source!BC41, 1)</f>
        <v>6.61</v>
      </c>
      <c r="K101" s="29">
        <f>Source!O41</f>
        <v>42.3</v>
      </c>
      <c r="L101" s="31"/>
      <c r="S101">
        <f>ROUND((Source!FX41/100)*((ROUND(Source!AF41*Source!I41, 2)+ROUND(Source!AE41*Source!I41, 2))), 2)</f>
        <v>0</v>
      </c>
      <c r="T101">
        <f>Source!X41</f>
        <v>0</v>
      </c>
      <c r="U101">
        <f>ROUND((Source!FY41/100)*((ROUND(Source!AF41*Source!I41, 2)+ROUND(Source!AE41*Source!I41, 2))), 2)</f>
        <v>0</v>
      </c>
      <c r="V101">
        <f>Source!Y41</f>
        <v>0</v>
      </c>
      <c r="W101">
        <f>IF(Source!BI41&lt;=1,H101, 0)</f>
        <v>6.4</v>
      </c>
      <c r="X101">
        <f>IF(Source!BI41=2,H101, 0)</f>
        <v>0</v>
      </c>
      <c r="Y101">
        <f>IF(Source!BI41=3,H101, 0)</f>
        <v>0</v>
      </c>
      <c r="Z101">
        <f>IF(Source!BI41=4,H101, 0)</f>
        <v>0</v>
      </c>
    </row>
    <row r="102" spans="1:26" ht="28.5" x14ac:dyDescent="0.2">
      <c r="A102" s="44" t="str">
        <f>Source!E42</f>
        <v>7,3</v>
      </c>
      <c r="B102" s="45" t="str">
        <f>Source!F42</f>
        <v>11.3.03.14-0032</v>
      </c>
      <c r="C102" s="45" t="str">
        <f>Source!G42</f>
        <v>Уголок внутренний для пластикового плинтуса, высота 49 мм</v>
      </c>
      <c r="D102" s="28" t="str">
        <f>Source!H42</f>
        <v>100 шт.</v>
      </c>
      <c r="E102" s="10">
        <f>Source!I42</f>
        <v>0.05</v>
      </c>
      <c r="F102" s="29">
        <f>Source!AL42+Source!AM42+Source!AO42</f>
        <v>128</v>
      </c>
      <c r="G102" s="41" t="s">
        <v>3</v>
      </c>
      <c r="H102" s="29">
        <f>ROUND(Source!AC42*Source!I42, 2)+ROUND(Source!AD42*Source!I42, 2)+ROUND(Source!AF42*Source!I42, 2)</f>
        <v>6.4</v>
      </c>
      <c r="I102" s="30"/>
      <c r="J102" s="30">
        <f>IF(Source!BC42&lt;&gt; 0, Source!BC42, 1)</f>
        <v>6.61</v>
      </c>
      <c r="K102" s="29">
        <f>Source!O42</f>
        <v>42.3</v>
      </c>
      <c r="L102" s="31"/>
      <c r="S102">
        <f>ROUND((Source!FX42/100)*((ROUND(Source!AF42*Source!I42, 2)+ROUND(Source!AE42*Source!I42, 2))), 2)</f>
        <v>0</v>
      </c>
      <c r="T102">
        <f>Source!X42</f>
        <v>0</v>
      </c>
      <c r="U102">
        <f>ROUND((Source!FY42/100)*((ROUND(Source!AF42*Source!I42, 2)+ROUND(Source!AE42*Source!I42, 2))), 2)</f>
        <v>0</v>
      </c>
      <c r="V102">
        <f>Source!Y42</f>
        <v>0</v>
      </c>
      <c r="W102">
        <f>IF(Source!BI42&lt;=1,H102, 0)</f>
        <v>6.4</v>
      </c>
      <c r="X102">
        <f>IF(Source!BI42=2,H102, 0)</f>
        <v>0</v>
      </c>
      <c r="Y102">
        <f>IF(Source!BI42=3,H102, 0)</f>
        <v>0</v>
      </c>
      <c r="Z102">
        <f>IF(Source!BI42=4,H102, 0)</f>
        <v>0</v>
      </c>
    </row>
    <row r="103" spans="1:26" ht="28.5" x14ac:dyDescent="0.2">
      <c r="A103" s="44" t="str">
        <f>Source!E43</f>
        <v>7,4</v>
      </c>
      <c r="B103" s="45" t="str">
        <f>Source!F43</f>
        <v>11.3.03.14-0022</v>
      </c>
      <c r="C103" s="45" t="str">
        <f>Source!G43</f>
        <v>Соединитель для пластикового плинтуса, высота 49 мм</v>
      </c>
      <c r="D103" s="28" t="str">
        <f>Source!H43</f>
        <v>100 шт.</v>
      </c>
      <c r="E103" s="10">
        <f>Source!I43</f>
        <v>0.3</v>
      </c>
      <c r="F103" s="29">
        <f>Source!AL43+Source!AM43+Source!AO43</f>
        <v>128</v>
      </c>
      <c r="G103" s="41" t="s">
        <v>3</v>
      </c>
      <c r="H103" s="29">
        <f>ROUND(Source!AC43*Source!I43, 2)+ROUND(Source!AD43*Source!I43, 2)+ROUND(Source!AF43*Source!I43, 2)</f>
        <v>38.4</v>
      </c>
      <c r="I103" s="30"/>
      <c r="J103" s="30">
        <f>IF(Source!BC43&lt;&gt; 0, Source!BC43, 1)</f>
        <v>6.61</v>
      </c>
      <c r="K103" s="29">
        <f>Source!O43</f>
        <v>253.82</v>
      </c>
      <c r="L103" s="31"/>
      <c r="S103">
        <f>ROUND((Source!FX43/100)*((ROUND(Source!AF43*Source!I43, 2)+ROUND(Source!AE43*Source!I43, 2))), 2)</f>
        <v>0</v>
      </c>
      <c r="T103">
        <f>Source!X43</f>
        <v>0</v>
      </c>
      <c r="U103">
        <f>ROUND((Source!FY43/100)*((ROUND(Source!AF43*Source!I43, 2)+ROUND(Source!AE43*Source!I43, 2))), 2)</f>
        <v>0</v>
      </c>
      <c r="V103">
        <f>Source!Y43</f>
        <v>0</v>
      </c>
      <c r="W103">
        <f>IF(Source!BI43&lt;=1,H103, 0)</f>
        <v>38.4</v>
      </c>
      <c r="X103">
        <f>IF(Source!BI43=2,H103, 0)</f>
        <v>0</v>
      </c>
      <c r="Y103">
        <f>IF(Source!BI43=3,H103, 0)</f>
        <v>0</v>
      </c>
      <c r="Z103">
        <f>IF(Source!BI43=4,H103, 0)</f>
        <v>0</v>
      </c>
    </row>
    <row r="104" spans="1:26" ht="28.5" x14ac:dyDescent="0.2">
      <c r="A104" s="44" t="str">
        <f>Source!E44</f>
        <v>7,5</v>
      </c>
      <c r="B104" s="45" t="str">
        <f>Source!F44</f>
        <v>11.3.03.14-0002</v>
      </c>
      <c r="C104" s="45" t="str">
        <f>Source!G44</f>
        <v>Заглушка торцевая для пластикового плинтуса левая, высота 49 мм</v>
      </c>
      <c r="D104" s="28" t="str">
        <f>Source!H44</f>
        <v>100 шт.</v>
      </c>
      <c r="E104" s="10">
        <f>Source!I44</f>
        <v>0.06</v>
      </c>
      <c r="F104" s="29">
        <f>Source!AL44+Source!AM44+Source!AO44</f>
        <v>101</v>
      </c>
      <c r="G104" s="41" t="s">
        <v>3</v>
      </c>
      <c r="H104" s="29">
        <f>ROUND(Source!AC44*Source!I44, 2)+ROUND(Source!AD44*Source!I44, 2)+ROUND(Source!AF44*Source!I44, 2)</f>
        <v>6.06</v>
      </c>
      <c r="I104" s="30"/>
      <c r="J104" s="30">
        <f>IF(Source!BC44&lt;&gt; 0, Source!BC44, 1)</f>
        <v>6.61</v>
      </c>
      <c r="K104" s="29">
        <f>Source!O44</f>
        <v>40.06</v>
      </c>
      <c r="L104" s="31"/>
      <c r="S104">
        <f>ROUND((Source!FX44/100)*((ROUND(Source!AF44*Source!I44, 2)+ROUND(Source!AE44*Source!I44, 2))), 2)</f>
        <v>0</v>
      </c>
      <c r="T104">
        <f>Source!X44</f>
        <v>0</v>
      </c>
      <c r="U104">
        <f>ROUND((Source!FY44/100)*((ROUND(Source!AF44*Source!I44, 2)+ROUND(Source!AE44*Source!I44, 2))), 2)</f>
        <v>0</v>
      </c>
      <c r="V104">
        <f>Source!Y44</f>
        <v>0</v>
      </c>
      <c r="W104">
        <f>IF(Source!BI44&lt;=1,H104, 0)</f>
        <v>6.06</v>
      </c>
      <c r="X104">
        <f>IF(Source!BI44=2,H104, 0)</f>
        <v>0</v>
      </c>
      <c r="Y104">
        <f>IF(Source!BI44=3,H104, 0)</f>
        <v>0</v>
      </c>
      <c r="Z104">
        <f>IF(Source!BI44=4,H104, 0)</f>
        <v>0</v>
      </c>
    </row>
    <row r="105" spans="1:26" ht="28.5" x14ac:dyDescent="0.2">
      <c r="A105" s="46" t="str">
        <f>Source!E45</f>
        <v>7,6</v>
      </c>
      <c r="B105" s="47" t="str">
        <f>Source!F45</f>
        <v>11.3.03.14-0012</v>
      </c>
      <c r="C105" s="47" t="str">
        <f>Source!G45</f>
        <v>Заглушки торцевая для пластикового плинтуса правая, высота 49 мм</v>
      </c>
      <c r="D105" s="33" t="str">
        <f>Source!H45</f>
        <v>100 шт.</v>
      </c>
      <c r="E105" s="34">
        <f>Source!I45</f>
        <v>0.06</v>
      </c>
      <c r="F105" s="35">
        <f>Source!AL45+Source!AM45+Source!AO45</f>
        <v>101</v>
      </c>
      <c r="G105" s="42" t="s">
        <v>3</v>
      </c>
      <c r="H105" s="35">
        <f>ROUND(Source!AC45*Source!I45, 2)+ROUND(Source!AD45*Source!I45, 2)+ROUND(Source!AF45*Source!I45, 2)</f>
        <v>6.06</v>
      </c>
      <c r="I105" s="36"/>
      <c r="J105" s="36">
        <f>IF(Source!BC45&lt;&gt; 0, Source!BC45, 1)</f>
        <v>6.61</v>
      </c>
      <c r="K105" s="35">
        <f>Source!O45</f>
        <v>40.06</v>
      </c>
      <c r="L105" s="43"/>
      <c r="S105">
        <f>ROUND((Source!FX45/100)*((ROUND(Source!AF45*Source!I45, 2)+ROUND(Source!AE45*Source!I45, 2))), 2)</f>
        <v>0</v>
      </c>
      <c r="T105">
        <f>Source!X45</f>
        <v>0</v>
      </c>
      <c r="U105">
        <f>ROUND((Source!FY45/100)*((ROUND(Source!AF45*Source!I45, 2)+ROUND(Source!AE45*Source!I45, 2))), 2)</f>
        <v>0</v>
      </c>
      <c r="V105">
        <f>Source!Y45</f>
        <v>0</v>
      </c>
      <c r="W105">
        <f>IF(Source!BI45&lt;=1,H105, 0)</f>
        <v>6.06</v>
      </c>
      <c r="X105">
        <f>IF(Source!BI45=2,H105, 0)</f>
        <v>0</v>
      </c>
      <c r="Y105">
        <f>IF(Source!BI45=3,H105, 0)</f>
        <v>0</v>
      </c>
      <c r="Z105">
        <f>IF(Source!BI45=4,H105, 0)</f>
        <v>0</v>
      </c>
    </row>
    <row r="106" spans="1:26" ht="15" x14ac:dyDescent="0.25">
      <c r="G106" s="68">
        <f>H93+H94+H96+H97+H98+SUM(H100:H105)</f>
        <v>1225.08</v>
      </c>
      <c r="H106" s="68"/>
      <c r="J106" s="68">
        <f>K93+K94+K96+K97+K98+SUM(K100:K105)</f>
        <v>8099.6200000000008</v>
      </c>
      <c r="K106" s="68"/>
      <c r="L106" s="38">
        <f>Source!U39</f>
        <v>5.8982396000000001</v>
      </c>
      <c r="O106" s="24">
        <f>G106</f>
        <v>1225.08</v>
      </c>
      <c r="P106" s="24">
        <f>J106</f>
        <v>8099.6200000000008</v>
      </c>
      <c r="Q106" s="24">
        <f>L106</f>
        <v>5.8982396000000001</v>
      </c>
      <c r="W106">
        <f>IF(Source!BI39&lt;=1,H93+H94+H96+H97+H98, 0)</f>
        <v>207.92</v>
      </c>
      <c r="X106">
        <f>IF(Source!BI39=2,H93+H94+H96+H97+H98, 0)</f>
        <v>0</v>
      </c>
      <c r="Y106">
        <f>IF(Source!BI39=3,H93+H94+H96+H97+H98, 0)</f>
        <v>0</v>
      </c>
      <c r="Z106">
        <f>IF(Source!BI39=4,H93+H94+H96+H97+H98, 0)</f>
        <v>0</v>
      </c>
    </row>
    <row r="107" spans="1:26" ht="28.5" x14ac:dyDescent="0.2">
      <c r="A107" s="44" t="str">
        <f>Source!E46</f>
        <v>8</v>
      </c>
      <c r="B107" s="45" t="str">
        <f>Source!F46</f>
        <v>11-01-049-01</v>
      </c>
      <c r="C107" s="45" t="str">
        <f>Source!G46</f>
        <v>Укладка металлического накладного профиля (порога)</v>
      </c>
      <c r="D107" s="28" t="str">
        <f>Source!H46</f>
        <v>100 м</v>
      </c>
      <c r="E107" s="10">
        <f>Source!I46</f>
        <v>2.7E-2</v>
      </c>
      <c r="F107" s="29">
        <f>Source!AL46+Source!AM46+Source!AO46</f>
        <v>225.83</v>
      </c>
      <c r="G107" s="30"/>
      <c r="H107" s="29"/>
      <c r="I107" s="30" t="str">
        <f>Source!BO46</f>
        <v/>
      </c>
      <c r="J107" s="30"/>
      <c r="K107" s="29"/>
      <c r="L107" s="31"/>
      <c r="S107">
        <f>ROUND((Source!FX46/100)*((ROUND(Source!AF46*Source!I46, 2)+ROUND(Source!AE46*Source!I46, 2))), 2)</f>
        <v>5</v>
      </c>
      <c r="T107">
        <f>Source!X46</f>
        <v>33.130000000000003</v>
      </c>
      <c r="U107">
        <f>ROUND((Source!FY46/100)*((ROUND(Source!AF46*Source!I46, 2)+ROUND(Source!AE46*Source!I46, 2))), 2)</f>
        <v>2.88</v>
      </c>
      <c r="V107">
        <f>Source!Y46</f>
        <v>19.100000000000001</v>
      </c>
    </row>
    <row r="108" spans="1:26" x14ac:dyDescent="0.2">
      <c r="C108" s="23" t="str">
        <f>"Объем: "&amp;Source!I46&amp;"=2,7/"&amp;"100"</f>
        <v>Объем: 0,027=2,7/100</v>
      </c>
    </row>
    <row r="109" spans="1:26" ht="14.25" x14ac:dyDescent="0.2">
      <c r="A109" s="44"/>
      <c r="B109" s="45"/>
      <c r="C109" s="45" t="s">
        <v>686</v>
      </c>
      <c r="D109" s="28"/>
      <c r="E109" s="10"/>
      <c r="F109" s="29">
        <f>Source!AO46</f>
        <v>145.43</v>
      </c>
      <c r="G109" s="30" t="str">
        <f>Source!DG46</f>
        <v>)*1,15</v>
      </c>
      <c r="H109" s="29">
        <f>ROUND(Source!AF46*Source!I46, 2)</f>
        <v>4.5199999999999996</v>
      </c>
      <c r="I109" s="30"/>
      <c r="J109" s="30">
        <f>IF(Source!BA46&lt;&gt; 0, Source!BA46, 1)</f>
        <v>6.61</v>
      </c>
      <c r="K109" s="29">
        <f>Source!S46</f>
        <v>29.85</v>
      </c>
      <c r="L109" s="31"/>
      <c r="R109">
        <f>H109</f>
        <v>4.5199999999999996</v>
      </c>
    </row>
    <row r="110" spans="1:26" ht="14.25" x14ac:dyDescent="0.2">
      <c r="A110" s="44"/>
      <c r="B110" s="45"/>
      <c r="C110" s="45" t="s">
        <v>693</v>
      </c>
      <c r="D110" s="28"/>
      <c r="E110" s="10"/>
      <c r="F110" s="29">
        <f>Source!AL46</f>
        <v>80.400000000000006</v>
      </c>
      <c r="G110" s="30" t="str">
        <f>Source!DD46</f>
        <v/>
      </c>
      <c r="H110" s="29">
        <f>ROUND(Source!AC46*Source!I46, 2)</f>
        <v>2.17</v>
      </c>
      <c r="I110" s="30"/>
      <c r="J110" s="30">
        <f>IF(Source!BC46&lt;&gt; 0, Source!BC46, 1)</f>
        <v>6.61</v>
      </c>
      <c r="K110" s="29">
        <f>Source!P46</f>
        <v>14.35</v>
      </c>
      <c r="L110" s="31"/>
    </row>
    <row r="111" spans="1:26" ht="14.25" x14ac:dyDescent="0.2">
      <c r="A111" s="44"/>
      <c r="B111" s="45"/>
      <c r="C111" s="45" t="s">
        <v>687</v>
      </c>
      <c r="D111" s="28" t="s">
        <v>688</v>
      </c>
      <c r="E111" s="10">
        <f>Source!BZ46</f>
        <v>123</v>
      </c>
      <c r="F111" s="56" t="str">
        <f>CONCATENATE(" )", Source!DL46, Source!FT46, "=", Source!FX46)</f>
        <v xml:space="preserve"> )*0,9=110,7</v>
      </c>
      <c r="G111" s="69"/>
      <c r="H111" s="29">
        <f>SUM(S107:S114)</f>
        <v>5</v>
      </c>
      <c r="I111" s="32"/>
      <c r="J111" s="27">
        <f>Source!AT46</f>
        <v>111</v>
      </c>
      <c r="K111" s="29">
        <f>SUM(T107:T114)</f>
        <v>33.130000000000003</v>
      </c>
      <c r="L111" s="31"/>
    </row>
    <row r="112" spans="1:26" ht="14.25" x14ac:dyDescent="0.2">
      <c r="A112" s="44"/>
      <c r="B112" s="45"/>
      <c r="C112" s="45" t="s">
        <v>689</v>
      </c>
      <c r="D112" s="28" t="s">
        <v>688</v>
      </c>
      <c r="E112" s="10">
        <f>Source!CA46</f>
        <v>75</v>
      </c>
      <c r="F112" s="56" t="str">
        <f>CONCATENATE(" )", Source!DM46, Source!FU46, "=", Source!FY46)</f>
        <v xml:space="preserve"> )*0,85=63,75</v>
      </c>
      <c r="G112" s="69"/>
      <c r="H112" s="29">
        <f>SUM(U107:U114)</f>
        <v>2.88</v>
      </c>
      <c r="I112" s="32"/>
      <c r="J112" s="27">
        <f>Source!AU46</f>
        <v>64</v>
      </c>
      <c r="K112" s="29">
        <f>SUM(V107:V114)</f>
        <v>19.100000000000001</v>
      </c>
      <c r="L112" s="31"/>
    </row>
    <row r="113" spans="1:26" ht="14.25" x14ac:dyDescent="0.2">
      <c r="A113" s="44"/>
      <c r="B113" s="45"/>
      <c r="C113" s="45" t="s">
        <v>690</v>
      </c>
      <c r="D113" s="28" t="s">
        <v>691</v>
      </c>
      <c r="E113" s="10">
        <f>Source!AQ46</f>
        <v>16.64</v>
      </c>
      <c r="F113" s="29"/>
      <c r="G113" s="30" t="str">
        <f>Source!DI46</f>
        <v>)*1,15</v>
      </c>
      <c r="H113" s="29"/>
      <c r="I113" s="30"/>
      <c r="J113" s="30"/>
      <c r="K113" s="29"/>
      <c r="L113" s="40">
        <f>Source!U46</f>
        <v>0.51667200000000002</v>
      </c>
    </row>
    <row r="114" spans="1:26" ht="42.75" x14ac:dyDescent="0.2">
      <c r="A114" s="46" t="str">
        <f>Source!E47</f>
        <v>8,1</v>
      </c>
      <c r="B114" s="47" t="str">
        <f>Source!F47</f>
        <v>09.2.03.02-0022</v>
      </c>
      <c r="C114" s="47" t="str">
        <f>Source!G47</f>
        <v>Профили стыкоперекрывающие из алюминиевых сплавов (порожки) с покрытием, шириной 60 мм</v>
      </c>
      <c r="D114" s="33" t="str">
        <f>Source!H47</f>
        <v>м</v>
      </c>
      <c r="E114" s="34">
        <f>Source!I47</f>
        <v>2.835</v>
      </c>
      <c r="F114" s="35">
        <f>Source!AL47+Source!AM47+Source!AO47</f>
        <v>22.58</v>
      </c>
      <c r="G114" s="42" t="s">
        <v>3</v>
      </c>
      <c r="H114" s="35">
        <f>ROUND(Source!AC47*Source!I47, 2)+ROUND(Source!AD47*Source!I47, 2)+ROUND(Source!AF47*Source!I47, 2)</f>
        <v>64.010000000000005</v>
      </c>
      <c r="I114" s="36"/>
      <c r="J114" s="36">
        <f>IF(Source!BC47&lt;&gt; 0, Source!BC47, 1)</f>
        <v>6.61</v>
      </c>
      <c r="K114" s="35">
        <f>Source!O47</f>
        <v>423.13</v>
      </c>
      <c r="L114" s="43"/>
      <c r="S114">
        <f>ROUND((Source!FX47/100)*((ROUND(Source!AF47*Source!I47, 2)+ROUND(Source!AE47*Source!I47, 2))), 2)</f>
        <v>0</v>
      </c>
      <c r="T114">
        <f>Source!X47</f>
        <v>0</v>
      </c>
      <c r="U114">
        <f>ROUND((Source!FY47/100)*((ROUND(Source!AF47*Source!I47, 2)+ROUND(Source!AE47*Source!I47, 2))), 2)</f>
        <v>0</v>
      </c>
      <c r="V114">
        <f>Source!Y47</f>
        <v>0</v>
      </c>
      <c r="W114">
        <f>IF(Source!BI47&lt;=1,H114, 0)</f>
        <v>64.010000000000005</v>
      </c>
      <c r="X114">
        <f>IF(Source!BI47=2,H114, 0)</f>
        <v>0</v>
      </c>
      <c r="Y114">
        <f>IF(Source!BI47=3,H114, 0)</f>
        <v>0</v>
      </c>
      <c r="Z114">
        <f>IF(Source!BI47=4,H114, 0)</f>
        <v>0</v>
      </c>
    </row>
    <row r="115" spans="1:26" ht="15" x14ac:dyDescent="0.25">
      <c r="G115" s="68">
        <f>H109+H110+H111+H112+SUM(H114:H114)</f>
        <v>78.580000000000013</v>
      </c>
      <c r="H115" s="68"/>
      <c r="J115" s="68">
        <f>K109+K110+K111+K112+SUM(K114:K114)</f>
        <v>519.55999999999995</v>
      </c>
      <c r="K115" s="68"/>
      <c r="L115" s="38">
        <f>Source!U46</f>
        <v>0.51667200000000002</v>
      </c>
      <c r="O115" s="24">
        <f>G115</f>
        <v>78.580000000000013</v>
      </c>
      <c r="P115" s="24">
        <f>J115</f>
        <v>519.55999999999995</v>
      </c>
      <c r="Q115" s="24">
        <f>L115</f>
        <v>0.51667200000000002</v>
      </c>
      <c r="W115">
        <f>IF(Source!BI46&lt;=1,H109+H110+H111+H112, 0)</f>
        <v>14.57</v>
      </c>
      <c r="X115">
        <f>IF(Source!BI46=2,H109+H110+H111+H112, 0)</f>
        <v>0</v>
      </c>
      <c r="Y115">
        <f>IF(Source!BI46=3,H109+H110+H111+H112, 0)</f>
        <v>0</v>
      </c>
      <c r="Z115">
        <f>IF(Source!BI46=4,H109+H110+H111+H112, 0)</f>
        <v>0</v>
      </c>
    </row>
    <row r="116" spans="1:26" ht="57" x14ac:dyDescent="0.2">
      <c r="A116" s="44" t="str">
        <f>Source!E48</f>
        <v>9</v>
      </c>
      <c r="B116" s="45" t="str">
        <f>Source!F48</f>
        <v>46-02-007-01</v>
      </c>
      <c r="C116" s="45" t="str">
        <f>Source!G48</f>
        <v>Кладка отдельных участков кирпичных стен и заделка проемов в кирпичных стенах при объеме кладки в одном месте до 5 м3</v>
      </c>
      <c r="D116" s="28" t="str">
        <f>Source!H48</f>
        <v>м3</v>
      </c>
      <c r="E116" s="10">
        <f>Source!I48</f>
        <v>0.33</v>
      </c>
      <c r="F116" s="29">
        <f>Source!AL48+Source!AM48+Source!AO48</f>
        <v>246.41</v>
      </c>
      <c r="G116" s="30"/>
      <c r="H116" s="29"/>
      <c r="I116" s="30" t="str">
        <f>Source!BO48</f>
        <v/>
      </c>
      <c r="J116" s="30"/>
      <c r="K116" s="29"/>
      <c r="L116" s="31"/>
      <c r="S116">
        <f>ROUND((Source!FX48/100)*((ROUND(Source!AF48*Source!I48, 2)+ROUND(Source!AE48*Source!I48, 2))), 2)</f>
        <v>39.049999999999997</v>
      </c>
      <c r="T116">
        <f>Source!X48</f>
        <v>258.12</v>
      </c>
      <c r="U116">
        <f>ROUND((Source!FY48/100)*((ROUND(Source!AF48*Source!I48, 2)+ROUND(Source!AE48*Source!I48, 2))), 2)</f>
        <v>23.47</v>
      </c>
      <c r="V116">
        <f>Source!Y48</f>
        <v>156.44</v>
      </c>
    </row>
    <row r="117" spans="1:26" ht="14.25" x14ac:dyDescent="0.2">
      <c r="A117" s="44"/>
      <c r="B117" s="45"/>
      <c r="C117" s="45" t="s">
        <v>686</v>
      </c>
      <c r="D117" s="28"/>
      <c r="E117" s="10"/>
      <c r="F117" s="29">
        <f>Source!AO48</f>
        <v>119.53</v>
      </c>
      <c r="G117" s="30" t="str">
        <f>Source!DG48</f>
        <v/>
      </c>
      <c r="H117" s="29">
        <f>ROUND(Source!AF48*Source!I48, 2)</f>
        <v>39.44</v>
      </c>
      <c r="I117" s="30"/>
      <c r="J117" s="30">
        <f>IF(Source!BA48&lt;&gt; 0, Source!BA48, 1)</f>
        <v>6.61</v>
      </c>
      <c r="K117" s="29">
        <f>Source!S48</f>
        <v>260.73</v>
      </c>
      <c r="L117" s="31"/>
      <c r="R117">
        <f>H117</f>
        <v>39.44</v>
      </c>
    </row>
    <row r="118" spans="1:26" ht="14.25" x14ac:dyDescent="0.2">
      <c r="A118" s="44"/>
      <c r="B118" s="45"/>
      <c r="C118" s="45" t="s">
        <v>222</v>
      </c>
      <c r="D118" s="28"/>
      <c r="E118" s="10"/>
      <c r="F118" s="29">
        <f>Source!AM48</f>
        <v>2.13</v>
      </c>
      <c r="G118" s="30" t="str">
        <f>Source!DE48</f>
        <v/>
      </c>
      <c r="H118" s="29">
        <f>ROUND(Source!AD48*Source!I48, 2)</f>
        <v>0.7</v>
      </c>
      <c r="I118" s="30"/>
      <c r="J118" s="30">
        <f>IF(Source!BB48&lt;&gt; 0, Source!BB48, 1)</f>
        <v>6.61</v>
      </c>
      <c r="K118" s="29">
        <f>Source!Q48</f>
        <v>4.6500000000000004</v>
      </c>
      <c r="L118" s="31"/>
    </row>
    <row r="119" spans="1:26" ht="14.25" x14ac:dyDescent="0.2">
      <c r="A119" s="44"/>
      <c r="B119" s="45"/>
      <c r="C119" s="45" t="s">
        <v>693</v>
      </c>
      <c r="D119" s="28"/>
      <c r="E119" s="10"/>
      <c r="F119" s="29">
        <f>Source!AL48</f>
        <v>124.75</v>
      </c>
      <c r="G119" s="30" t="str">
        <f>Source!DD48</f>
        <v/>
      </c>
      <c r="H119" s="29">
        <f>ROUND(Source!AC48*Source!I48, 2)</f>
        <v>41.17</v>
      </c>
      <c r="I119" s="30"/>
      <c r="J119" s="30">
        <f>IF(Source!BC48&lt;&gt; 0, Source!BC48, 1)</f>
        <v>6.61</v>
      </c>
      <c r="K119" s="29">
        <f>Source!P48</f>
        <v>272.12</v>
      </c>
      <c r="L119" s="31"/>
    </row>
    <row r="120" spans="1:26" ht="14.25" x14ac:dyDescent="0.2">
      <c r="A120" s="44"/>
      <c r="B120" s="45"/>
      <c r="C120" s="45" t="s">
        <v>687</v>
      </c>
      <c r="D120" s="28" t="s">
        <v>688</v>
      </c>
      <c r="E120" s="10">
        <f>Source!BZ48</f>
        <v>110</v>
      </c>
      <c r="F120" s="56" t="str">
        <f>CONCATENATE(" )", Source!DL48, Source!FT48, "=", Source!FX48)</f>
        <v xml:space="preserve"> )*0,9=99</v>
      </c>
      <c r="G120" s="69"/>
      <c r="H120" s="29">
        <f>SUM(S116:S123)</f>
        <v>39.049999999999997</v>
      </c>
      <c r="I120" s="32"/>
      <c r="J120" s="27">
        <f>Source!AT48</f>
        <v>99</v>
      </c>
      <c r="K120" s="29">
        <f>SUM(T116:T123)</f>
        <v>258.12</v>
      </c>
      <c r="L120" s="31"/>
    </row>
    <row r="121" spans="1:26" ht="14.25" x14ac:dyDescent="0.2">
      <c r="A121" s="44"/>
      <c r="B121" s="45"/>
      <c r="C121" s="45" t="s">
        <v>689</v>
      </c>
      <c r="D121" s="28" t="s">
        <v>688</v>
      </c>
      <c r="E121" s="10">
        <f>Source!CA48</f>
        <v>70</v>
      </c>
      <c r="F121" s="56" t="str">
        <f>CONCATENATE(" )", Source!DM48, Source!FU48, "=", Source!FY48)</f>
        <v xml:space="preserve"> )*0,85=59,5</v>
      </c>
      <c r="G121" s="69"/>
      <c r="H121" s="29">
        <f>SUM(U116:U123)</f>
        <v>23.47</v>
      </c>
      <c r="I121" s="32"/>
      <c r="J121" s="27">
        <f>Source!AU48</f>
        <v>60</v>
      </c>
      <c r="K121" s="29">
        <f>SUM(V116:V123)</f>
        <v>156.44</v>
      </c>
      <c r="L121" s="31"/>
    </row>
    <row r="122" spans="1:26" ht="14.25" x14ac:dyDescent="0.2">
      <c r="A122" s="44"/>
      <c r="B122" s="45"/>
      <c r="C122" s="45" t="s">
        <v>690</v>
      </c>
      <c r="D122" s="28" t="s">
        <v>691</v>
      </c>
      <c r="E122" s="10">
        <f>Source!AQ48</f>
        <v>14.63</v>
      </c>
      <c r="F122" s="29"/>
      <c r="G122" s="30" t="str">
        <f>Source!DI48</f>
        <v/>
      </c>
      <c r="H122" s="29"/>
      <c r="I122" s="30"/>
      <c r="J122" s="30"/>
      <c r="K122" s="29"/>
      <c r="L122" s="40">
        <f>Source!U48</f>
        <v>4.8279000000000005</v>
      </c>
    </row>
    <row r="123" spans="1:26" ht="14.25" x14ac:dyDescent="0.2">
      <c r="A123" s="46" t="str">
        <f>Source!E49</f>
        <v>9,1</v>
      </c>
      <c r="B123" s="47" t="str">
        <f>Source!F49</f>
        <v>06.1.01.09-0002</v>
      </c>
      <c r="C123" s="47" t="str">
        <f>Source!G49</f>
        <v>Кирпич силикатный</v>
      </c>
      <c r="D123" s="33" t="str">
        <f>Source!H49</f>
        <v>м3</v>
      </c>
      <c r="E123" s="34">
        <f>Source!I49</f>
        <v>0.33</v>
      </c>
      <c r="F123" s="35">
        <f>Source!AL49+Source!AM49+Source!AO49</f>
        <v>103.41</v>
      </c>
      <c r="G123" s="42" t="s">
        <v>3</v>
      </c>
      <c r="H123" s="35">
        <f>ROUND(Source!AC49*Source!I49, 2)+ROUND(Source!AD49*Source!I49, 2)+ROUND(Source!AF49*Source!I49, 2)</f>
        <v>34.130000000000003</v>
      </c>
      <c r="I123" s="36"/>
      <c r="J123" s="36">
        <f>IF(Source!BC49&lt;&gt; 0, Source!BC49, 1)</f>
        <v>6.61</v>
      </c>
      <c r="K123" s="35">
        <f>Source!O49</f>
        <v>225.57</v>
      </c>
      <c r="L123" s="43"/>
      <c r="S123">
        <f>ROUND((Source!FX49/100)*((ROUND(Source!AF49*Source!I49, 2)+ROUND(Source!AE49*Source!I49, 2))), 2)</f>
        <v>0</v>
      </c>
      <c r="T123">
        <f>Source!X49</f>
        <v>0</v>
      </c>
      <c r="U123">
        <f>ROUND((Source!FY49/100)*((ROUND(Source!AF49*Source!I49, 2)+ROUND(Source!AE49*Source!I49, 2))), 2)</f>
        <v>0</v>
      </c>
      <c r="V123">
        <f>Source!Y49</f>
        <v>0</v>
      </c>
      <c r="W123">
        <f>IF(Source!BI49&lt;=1,H123, 0)</f>
        <v>34.130000000000003</v>
      </c>
      <c r="X123">
        <f>IF(Source!BI49=2,H123, 0)</f>
        <v>0</v>
      </c>
      <c r="Y123">
        <f>IF(Source!BI49=3,H123, 0)</f>
        <v>0</v>
      </c>
      <c r="Z123">
        <f>IF(Source!BI49=4,H123, 0)</f>
        <v>0</v>
      </c>
    </row>
    <row r="124" spans="1:26" ht="15" x14ac:dyDescent="0.25">
      <c r="G124" s="68">
        <f>H117+H118+H119+H120+H121+SUM(H123:H123)</f>
        <v>177.95999999999998</v>
      </c>
      <c r="H124" s="68"/>
      <c r="J124" s="68">
        <f>K117+K118+K119+K120+K121+SUM(K123:K123)</f>
        <v>1177.6299999999999</v>
      </c>
      <c r="K124" s="68"/>
      <c r="L124" s="38">
        <f>Source!U48</f>
        <v>4.8279000000000005</v>
      </c>
      <c r="O124" s="24">
        <f>G124</f>
        <v>177.95999999999998</v>
      </c>
      <c r="P124" s="24">
        <f>J124</f>
        <v>1177.6299999999999</v>
      </c>
      <c r="Q124" s="24">
        <f>L124</f>
        <v>4.8279000000000005</v>
      </c>
      <c r="W124">
        <f>IF(Source!BI48&lt;=1,H117+H118+H119+H120+H121, 0)</f>
        <v>143.82999999999998</v>
      </c>
      <c r="X124">
        <f>IF(Source!BI48=2,H117+H118+H119+H120+H121, 0)</f>
        <v>0</v>
      </c>
      <c r="Y124">
        <f>IF(Source!BI48=3,H117+H118+H119+H120+H121, 0)</f>
        <v>0</v>
      </c>
      <c r="Z124">
        <f>IF(Source!BI48=4,H117+H118+H119+H120+H121, 0)</f>
        <v>0</v>
      </c>
    </row>
    <row r="125" spans="1:26" ht="42.75" x14ac:dyDescent="0.2">
      <c r="A125" s="44" t="str">
        <f>Source!E50</f>
        <v>10</v>
      </c>
      <c r="B125" s="45" t="str">
        <f>Source!F50</f>
        <v>46-03-017-05 прим.</v>
      </c>
      <c r="C125" s="45" t="str">
        <f>Source!G50</f>
        <v>Заделка отверстий, гнезд и борозд в стенах и перегородках бетонных площадью до 0,1 м2</v>
      </c>
      <c r="D125" s="28" t="str">
        <f>Source!H50</f>
        <v>м3</v>
      </c>
      <c r="E125" s="10">
        <f>Source!I50</f>
        <v>0.33750000000000002</v>
      </c>
      <c r="F125" s="29">
        <f>Source!AL50+Source!AM50+Source!AO50</f>
        <v>1229.96</v>
      </c>
      <c r="G125" s="30"/>
      <c r="H125" s="29"/>
      <c r="I125" s="30" t="str">
        <f>Source!BO50</f>
        <v/>
      </c>
      <c r="J125" s="30"/>
      <c r="K125" s="29"/>
      <c r="L125" s="31"/>
      <c r="S125">
        <f>ROUND((Source!FX50/100)*((ROUND(Source!AF50*Source!I50, 2)+ROUND(Source!AE50*Source!I50, 2))), 2)</f>
        <v>204.88</v>
      </c>
      <c r="T125">
        <f>Source!X50</f>
        <v>1354.22</v>
      </c>
      <c r="U125">
        <f>ROUND((Source!FY50/100)*((ROUND(Source!AF50*Source!I50, 2)+ROUND(Source!AE50*Source!I50, 2))), 2)</f>
        <v>123.14</v>
      </c>
      <c r="V125">
        <f>Source!Y50</f>
        <v>820.74</v>
      </c>
    </row>
    <row r="126" spans="1:26" ht="14.25" x14ac:dyDescent="0.2">
      <c r="A126" s="44"/>
      <c r="B126" s="45"/>
      <c r="C126" s="45" t="s">
        <v>686</v>
      </c>
      <c r="D126" s="28"/>
      <c r="E126" s="10"/>
      <c r="F126" s="29">
        <f>Source!AO50</f>
        <v>608.53</v>
      </c>
      <c r="G126" s="30" t="str">
        <f>Source!DG50</f>
        <v/>
      </c>
      <c r="H126" s="29">
        <f>ROUND(Source!AF50*Source!I50, 2)</f>
        <v>205.38</v>
      </c>
      <c r="I126" s="30"/>
      <c r="J126" s="30">
        <f>IF(Source!BA50&lt;&gt; 0, Source!BA50, 1)</f>
        <v>6.61</v>
      </c>
      <c r="K126" s="29">
        <f>Source!S50</f>
        <v>1357.55</v>
      </c>
      <c r="L126" s="31"/>
      <c r="R126">
        <f>H126</f>
        <v>205.38</v>
      </c>
    </row>
    <row r="127" spans="1:26" ht="14.25" x14ac:dyDescent="0.2">
      <c r="A127" s="44"/>
      <c r="B127" s="45"/>
      <c r="C127" s="45" t="s">
        <v>222</v>
      </c>
      <c r="D127" s="28"/>
      <c r="E127" s="10"/>
      <c r="F127" s="29">
        <f>Source!AM50</f>
        <v>26.64</v>
      </c>
      <c r="G127" s="30" t="str">
        <f>Source!DE50</f>
        <v/>
      </c>
      <c r="H127" s="29">
        <f>ROUND(Source!AD50*Source!I50, 2)</f>
        <v>8.99</v>
      </c>
      <c r="I127" s="30"/>
      <c r="J127" s="30">
        <f>IF(Source!BB50&lt;&gt; 0, Source!BB50, 1)</f>
        <v>6.61</v>
      </c>
      <c r="K127" s="29">
        <f>Source!Q50</f>
        <v>59.43</v>
      </c>
      <c r="L127" s="31"/>
    </row>
    <row r="128" spans="1:26" ht="14.25" x14ac:dyDescent="0.2">
      <c r="A128" s="44"/>
      <c r="B128" s="45"/>
      <c r="C128" s="45" t="s">
        <v>692</v>
      </c>
      <c r="D128" s="28"/>
      <c r="E128" s="10"/>
      <c r="F128" s="29">
        <f>Source!AN50</f>
        <v>4.6399999999999997</v>
      </c>
      <c r="G128" s="30" t="str">
        <f>Source!DF50</f>
        <v/>
      </c>
      <c r="H128" s="39">
        <f>ROUND(Source!AE50*Source!I50, 2)</f>
        <v>1.57</v>
      </c>
      <c r="I128" s="30"/>
      <c r="J128" s="30">
        <f>IF(Source!BS50&lt;&gt; 0, Source!BS50, 1)</f>
        <v>6.61</v>
      </c>
      <c r="K128" s="39">
        <f>Source!R50</f>
        <v>10.35</v>
      </c>
      <c r="L128" s="31"/>
      <c r="R128">
        <f>H128</f>
        <v>1.57</v>
      </c>
    </row>
    <row r="129" spans="1:26" ht="14.25" x14ac:dyDescent="0.2">
      <c r="A129" s="44"/>
      <c r="B129" s="45"/>
      <c r="C129" s="45" t="s">
        <v>693</v>
      </c>
      <c r="D129" s="28"/>
      <c r="E129" s="10"/>
      <c r="F129" s="29">
        <f>Source!AL50</f>
        <v>594.79</v>
      </c>
      <c r="G129" s="30" t="str">
        <f>Source!DD50</f>
        <v/>
      </c>
      <c r="H129" s="29">
        <f>ROUND(Source!AC50*Source!I50, 2)</f>
        <v>200.74</v>
      </c>
      <c r="I129" s="30"/>
      <c r="J129" s="30">
        <f>IF(Source!BC50&lt;&gt; 0, Source!BC50, 1)</f>
        <v>6.61</v>
      </c>
      <c r="K129" s="29">
        <f>Source!P50</f>
        <v>1326.9</v>
      </c>
      <c r="L129" s="31"/>
    </row>
    <row r="130" spans="1:26" ht="14.25" x14ac:dyDescent="0.2">
      <c r="A130" s="44"/>
      <c r="B130" s="45"/>
      <c r="C130" s="45" t="s">
        <v>687</v>
      </c>
      <c r="D130" s="28" t="s">
        <v>688</v>
      </c>
      <c r="E130" s="10">
        <f>Source!BZ50</f>
        <v>110</v>
      </c>
      <c r="F130" s="56" t="str">
        <f>CONCATENATE(" )", Source!DL50, Source!FT50, "=", Source!FX50)</f>
        <v xml:space="preserve"> )*0,9=99</v>
      </c>
      <c r="G130" s="69"/>
      <c r="H130" s="29">
        <f>SUM(S125:S134)</f>
        <v>204.88</v>
      </c>
      <c r="I130" s="32"/>
      <c r="J130" s="27">
        <f>Source!AT50</f>
        <v>99</v>
      </c>
      <c r="K130" s="29">
        <f>SUM(T125:T134)</f>
        <v>1354.22</v>
      </c>
      <c r="L130" s="31"/>
    </row>
    <row r="131" spans="1:26" ht="14.25" x14ac:dyDescent="0.2">
      <c r="A131" s="44"/>
      <c r="B131" s="45"/>
      <c r="C131" s="45" t="s">
        <v>689</v>
      </c>
      <c r="D131" s="28" t="s">
        <v>688</v>
      </c>
      <c r="E131" s="10">
        <f>Source!CA50</f>
        <v>70</v>
      </c>
      <c r="F131" s="56" t="str">
        <f>CONCATENATE(" )", Source!DM50, Source!FU50, "=", Source!FY50)</f>
        <v xml:space="preserve"> )*0,85=59,5</v>
      </c>
      <c r="G131" s="69"/>
      <c r="H131" s="29">
        <f>SUM(U125:U134)</f>
        <v>123.14</v>
      </c>
      <c r="I131" s="32"/>
      <c r="J131" s="27">
        <f>Source!AU50</f>
        <v>60</v>
      </c>
      <c r="K131" s="29">
        <f>SUM(V125:V134)</f>
        <v>820.74</v>
      </c>
      <c r="L131" s="31"/>
    </row>
    <row r="132" spans="1:26" ht="14.25" x14ac:dyDescent="0.2">
      <c r="A132" s="44"/>
      <c r="B132" s="45"/>
      <c r="C132" s="45" t="s">
        <v>690</v>
      </c>
      <c r="D132" s="28" t="s">
        <v>691</v>
      </c>
      <c r="E132" s="10">
        <f>Source!AQ50</f>
        <v>75.22</v>
      </c>
      <c r="F132" s="29"/>
      <c r="G132" s="30" t="str">
        <f>Source!DI50</f>
        <v/>
      </c>
      <c r="H132" s="29"/>
      <c r="I132" s="30"/>
      <c r="J132" s="30"/>
      <c r="K132" s="29"/>
      <c r="L132" s="40">
        <f>Source!U50</f>
        <v>25.386750000000003</v>
      </c>
    </row>
    <row r="133" spans="1:26" ht="28.5" x14ac:dyDescent="0.2">
      <c r="A133" s="44" t="str">
        <f>Source!E51</f>
        <v>10,1</v>
      </c>
      <c r="B133" s="45" t="str">
        <f>Source!F51</f>
        <v>04.3.01.09-0015</v>
      </c>
      <c r="C133" s="45" t="str">
        <f>Source!G51</f>
        <v>Раствор готовый кладочный цементный марки 150</v>
      </c>
      <c r="D133" s="28" t="str">
        <f>Source!H51</f>
        <v>м3</v>
      </c>
      <c r="E133" s="10">
        <f>Source!I51</f>
        <v>0.35099999999999998</v>
      </c>
      <c r="F133" s="29">
        <f>Source!AL51+Source!AM51+Source!AO51</f>
        <v>548.29999999999995</v>
      </c>
      <c r="G133" s="41" t="s">
        <v>3</v>
      </c>
      <c r="H133" s="29">
        <f>ROUND(Source!AC51*Source!I51, 2)+ROUND(Source!AD51*Source!I51, 2)+ROUND(Source!AF51*Source!I51, 2)</f>
        <v>192.45</v>
      </c>
      <c r="I133" s="30"/>
      <c r="J133" s="30">
        <f>IF(Source!BC51&lt;&gt; 0, Source!BC51, 1)</f>
        <v>6.61</v>
      </c>
      <c r="K133" s="29">
        <f>Source!O51</f>
        <v>1272.1199999999999</v>
      </c>
      <c r="L133" s="31"/>
      <c r="S133">
        <f>ROUND((Source!FX51/100)*((ROUND(Source!AF51*Source!I51, 2)+ROUND(Source!AE51*Source!I51, 2))), 2)</f>
        <v>0</v>
      </c>
      <c r="T133">
        <f>Source!X51</f>
        <v>0</v>
      </c>
      <c r="U133">
        <f>ROUND((Source!FY51/100)*((ROUND(Source!AF51*Source!I51, 2)+ROUND(Source!AE51*Source!I51, 2))), 2)</f>
        <v>0</v>
      </c>
      <c r="V133">
        <f>Source!Y51</f>
        <v>0</v>
      </c>
      <c r="W133">
        <f>IF(Source!BI51&lt;=1,H133, 0)</f>
        <v>192.45</v>
      </c>
      <c r="X133">
        <f>IF(Source!BI51=2,H133, 0)</f>
        <v>0</v>
      </c>
      <c r="Y133">
        <f>IF(Source!BI51=3,H133, 0)</f>
        <v>0</v>
      </c>
      <c r="Z133">
        <f>IF(Source!BI51=4,H133, 0)</f>
        <v>0</v>
      </c>
    </row>
    <row r="134" spans="1:26" ht="28.5" x14ac:dyDescent="0.2">
      <c r="A134" s="46" t="str">
        <f>Source!E52</f>
        <v>10,2</v>
      </c>
      <c r="B134" s="47" t="str">
        <f>Source!F52</f>
        <v>04.1.02.06</v>
      </c>
      <c r="C134" s="47" t="str">
        <f>Source!G52</f>
        <v>Бетонные смеси готовые к употреблению</v>
      </c>
      <c r="D134" s="33" t="str">
        <f>Source!H52</f>
        <v>м3</v>
      </c>
      <c r="E134" s="34">
        <f>Source!I52</f>
        <v>0.35099999999999998</v>
      </c>
      <c r="F134" s="35">
        <f>Source!AL52+Source!AM52+Source!AO52</f>
        <v>0</v>
      </c>
      <c r="G134" s="42" t="s">
        <v>3</v>
      </c>
      <c r="H134" s="35">
        <f>ROUND(Source!AC52*Source!I52, 2)+ROUND(Source!AD52*Source!I52, 2)+ROUND(Source!AF52*Source!I52, 2)</f>
        <v>0</v>
      </c>
      <c r="I134" s="36"/>
      <c r="J134" s="36">
        <f>IF(Source!BC52&lt;&gt; 0, Source!BC52, 1)</f>
        <v>6.61</v>
      </c>
      <c r="K134" s="35">
        <f>Source!O52</f>
        <v>0</v>
      </c>
      <c r="L134" s="43"/>
      <c r="S134">
        <f>ROUND((Source!FX52/100)*((ROUND(Source!AF52*Source!I52, 2)+ROUND(Source!AE52*Source!I52, 2))), 2)</f>
        <v>0</v>
      </c>
      <c r="T134">
        <f>Source!X52</f>
        <v>0</v>
      </c>
      <c r="U134">
        <f>ROUND((Source!FY52/100)*((ROUND(Source!AF52*Source!I52, 2)+ROUND(Source!AE52*Source!I52, 2))), 2)</f>
        <v>0</v>
      </c>
      <c r="V134">
        <f>Source!Y52</f>
        <v>0</v>
      </c>
      <c r="W134">
        <f>IF(Source!BI52&lt;=1,H134, 0)</f>
        <v>0</v>
      </c>
      <c r="X134">
        <f>IF(Source!BI52=2,H134, 0)</f>
        <v>0</v>
      </c>
      <c r="Y134">
        <f>IF(Source!BI52=3,H134, 0)</f>
        <v>0</v>
      </c>
      <c r="Z134">
        <f>IF(Source!BI52=4,H134, 0)</f>
        <v>0</v>
      </c>
    </row>
    <row r="135" spans="1:26" ht="15" x14ac:dyDescent="0.25">
      <c r="G135" s="68">
        <f>H126+H127+H129+H130+H131+SUM(H133:H134)</f>
        <v>935.57999999999993</v>
      </c>
      <c r="H135" s="68"/>
      <c r="J135" s="68">
        <f>K126+K127+K129+K130+K131+SUM(K133:K134)</f>
        <v>6190.96</v>
      </c>
      <c r="K135" s="68"/>
      <c r="L135" s="38">
        <f>Source!U50</f>
        <v>25.386750000000003</v>
      </c>
      <c r="O135" s="24">
        <f>G135</f>
        <v>935.57999999999993</v>
      </c>
      <c r="P135" s="24">
        <f>J135</f>
        <v>6190.96</v>
      </c>
      <c r="Q135" s="24">
        <f>L135</f>
        <v>25.386750000000003</v>
      </c>
      <c r="W135">
        <f>IF(Source!BI50&lt;=1,H126+H127+H129+H130+H131, 0)</f>
        <v>743.13</v>
      </c>
      <c r="X135">
        <f>IF(Source!BI50=2,H126+H127+H129+H130+H131, 0)</f>
        <v>0</v>
      </c>
      <c r="Y135">
        <f>IF(Source!BI50=3,H126+H127+H129+H130+H131, 0)</f>
        <v>0</v>
      </c>
      <c r="Z135">
        <f>IF(Source!BI50=4,H126+H127+H129+H130+H131, 0)</f>
        <v>0</v>
      </c>
    </row>
    <row r="136" spans="1:26" ht="57" x14ac:dyDescent="0.2">
      <c r="A136" s="44" t="str">
        <f>Source!E53</f>
        <v>11</v>
      </c>
      <c r="B136" s="45" t="str">
        <f>Source!F53</f>
        <v>15-02-019-03</v>
      </c>
      <c r="C136" s="45" t="str">
        <f>Source!G53</f>
        <v>Сплошное выравнивание внутренних поверхностей (однослойное оштукатуривание) из сухих растворных смесей толщиной до 10 мм стен</v>
      </c>
      <c r="D136" s="28" t="str">
        <f>Source!H53</f>
        <v>100 м2</v>
      </c>
      <c r="E136" s="10">
        <f>Source!I53</f>
        <v>1.8939999999999999</v>
      </c>
      <c r="F136" s="29">
        <f>Source!AL53+Source!AM53+Source!AO53</f>
        <v>295.40999999999997</v>
      </c>
      <c r="G136" s="30"/>
      <c r="H136" s="29"/>
      <c r="I136" s="30" t="str">
        <f>Source!BO53</f>
        <v/>
      </c>
      <c r="J136" s="30"/>
      <c r="K136" s="29"/>
      <c r="L136" s="31"/>
      <c r="S136">
        <f>ROUND((Source!FX53/100)*((ROUND(Source!AF53*Source!I53, 2)+ROUND(Source!AE53*Source!I53, 2))), 2)</f>
        <v>592.99</v>
      </c>
      <c r="T136">
        <f>Source!X53</f>
        <v>3940.39</v>
      </c>
      <c r="U136">
        <f>ROUND((Source!FY53/100)*((ROUND(Source!AF53*Source!I53, 2)+ROUND(Source!AE53*Source!I53, 2))), 2)</f>
        <v>293.36</v>
      </c>
      <c r="V136">
        <f>Source!Y53</f>
        <v>1949.46</v>
      </c>
    </row>
    <row r="137" spans="1:26" x14ac:dyDescent="0.2">
      <c r="C137" s="23" t="str">
        <f>"Объем: "&amp;Source!I53&amp;"=189,4/"&amp;"100"</f>
        <v>Объем: 1,894=189,4/100</v>
      </c>
    </row>
    <row r="138" spans="1:26" ht="14.25" x14ac:dyDescent="0.2">
      <c r="A138" s="44"/>
      <c r="B138" s="45"/>
      <c r="C138" s="45" t="s">
        <v>686</v>
      </c>
      <c r="D138" s="28"/>
      <c r="E138" s="10"/>
      <c r="F138" s="29">
        <f>Source!AO53</f>
        <v>277.14</v>
      </c>
      <c r="G138" s="30" t="str">
        <f>Source!DG53</f>
        <v>)*1,15</v>
      </c>
      <c r="H138" s="29">
        <f>ROUND(Source!AF53*Source!I53, 2)</f>
        <v>603.64</v>
      </c>
      <c r="I138" s="30"/>
      <c r="J138" s="30">
        <f>IF(Source!BA53&lt;&gt; 0, Source!BA53, 1)</f>
        <v>6.61</v>
      </c>
      <c r="K138" s="29">
        <f>Source!S53</f>
        <v>3990.04</v>
      </c>
      <c r="L138" s="31"/>
      <c r="R138">
        <f>H138</f>
        <v>603.64</v>
      </c>
    </row>
    <row r="139" spans="1:26" ht="14.25" x14ac:dyDescent="0.2">
      <c r="A139" s="44"/>
      <c r="B139" s="45"/>
      <c r="C139" s="45" t="s">
        <v>222</v>
      </c>
      <c r="D139" s="28"/>
      <c r="E139" s="10"/>
      <c r="F139" s="29">
        <f>Source!AM53</f>
        <v>17.03</v>
      </c>
      <c r="G139" s="30" t="str">
        <f>Source!DE53</f>
        <v>)*1,25</v>
      </c>
      <c r="H139" s="29">
        <f>ROUND(Source!AD53*Source!I53, 2)</f>
        <v>40.32</v>
      </c>
      <c r="I139" s="30"/>
      <c r="J139" s="30">
        <f>IF(Source!BB53&lt;&gt; 0, Source!BB53, 1)</f>
        <v>6.61</v>
      </c>
      <c r="K139" s="29">
        <f>Source!Q53</f>
        <v>266.54000000000002</v>
      </c>
      <c r="L139" s="31"/>
    </row>
    <row r="140" spans="1:26" ht="14.25" x14ac:dyDescent="0.2">
      <c r="A140" s="44"/>
      <c r="B140" s="45"/>
      <c r="C140" s="45" t="s">
        <v>692</v>
      </c>
      <c r="D140" s="28"/>
      <c r="E140" s="10"/>
      <c r="F140" s="29">
        <f>Source!AN53</f>
        <v>10.08</v>
      </c>
      <c r="G140" s="30" t="str">
        <f>Source!DF53</f>
        <v>)*1,25</v>
      </c>
      <c r="H140" s="39">
        <f>ROUND(Source!AE53*Source!I53, 2)</f>
        <v>23.86</v>
      </c>
      <c r="I140" s="30"/>
      <c r="J140" s="30">
        <f>IF(Source!BS53&lt;&gt; 0, Source!BS53, 1)</f>
        <v>6.61</v>
      </c>
      <c r="K140" s="39">
        <f>Source!R53</f>
        <v>157.74</v>
      </c>
      <c r="L140" s="31"/>
      <c r="R140">
        <f>H140</f>
        <v>23.86</v>
      </c>
    </row>
    <row r="141" spans="1:26" ht="14.25" x14ac:dyDescent="0.2">
      <c r="A141" s="44"/>
      <c r="B141" s="45"/>
      <c r="C141" s="45" t="s">
        <v>693</v>
      </c>
      <c r="D141" s="28"/>
      <c r="E141" s="10"/>
      <c r="F141" s="29">
        <f>Source!AL53</f>
        <v>1.24</v>
      </c>
      <c r="G141" s="30" t="str">
        <f>Source!DD53</f>
        <v/>
      </c>
      <c r="H141" s="29">
        <f>ROUND(Source!AC53*Source!I53, 2)</f>
        <v>2.35</v>
      </c>
      <c r="I141" s="30"/>
      <c r="J141" s="30">
        <f>IF(Source!BC53&lt;&gt; 0, Source!BC53, 1)</f>
        <v>6.61</v>
      </c>
      <c r="K141" s="29">
        <f>Source!P53</f>
        <v>15.52</v>
      </c>
      <c r="L141" s="31"/>
    </row>
    <row r="142" spans="1:26" ht="14.25" x14ac:dyDescent="0.2">
      <c r="A142" s="44"/>
      <c r="B142" s="45"/>
      <c r="C142" s="45" t="s">
        <v>687</v>
      </c>
      <c r="D142" s="28" t="s">
        <v>688</v>
      </c>
      <c r="E142" s="10">
        <f>Source!BZ53</f>
        <v>105</v>
      </c>
      <c r="F142" s="56" t="str">
        <f>CONCATENATE(" )", Source!DL53, Source!FT53, "=", Source!FX53)</f>
        <v xml:space="preserve"> )*0,9=94,5</v>
      </c>
      <c r="G142" s="69"/>
      <c r="H142" s="29">
        <f>SUM(S136:S147)</f>
        <v>592.99</v>
      </c>
      <c r="I142" s="32"/>
      <c r="J142" s="27">
        <f>Source!AT53</f>
        <v>95</v>
      </c>
      <c r="K142" s="29">
        <f>SUM(T136:T147)</f>
        <v>3940.39</v>
      </c>
      <c r="L142" s="31"/>
    </row>
    <row r="143" spans="1:26" ht="14.25" x14ac:dyDescent="0.2">
      <c r="A143" s="44"/>
      <c r="B143" s="45"/>
      <c r="C143" s="45" t="s">
        <v>689</v>
      </c>
      <c r="D143" s="28" t="s">
        <v>688</v>
      </c>
      <c r="E143" s="10">
        <f>Source!CA53</f>
        <v>55</v>
      </c>
      <c r="F143" s="56" t="str">
        <f>CONCATENATE(" )", Source!DM53, Source!FU53, "=", Source!FY53)</f>
        <v xml:space="preserve"> )*0,85=46,75</v>
      </c>
      <c r="G143" s="69"/>
      <c r="H143" s="29">
        <f>SUM(U136:U147)</f>
        <v>293.36</v>
      </c>
      <c r="I143" s="32"/>
      <c r="J143" s="27">
        <f>Source!AU53</f>
        <v>47</v>
      </c>
      <c r="K143" s="29">
        <f>SUM(V136:V147)</f>
        <v>1949.46</v>
      </c>
      <c r="L143" s="31"/>
    </row>
    <row r="144" spans="1:26" ht="14.25" x14ac:dyDescent="0.2">
      <c r="A144" s="44"/>
      <c r="B144" s="45"/>
      <c r="C144" s="45" t="s">
        <v>690</v>
      </c>
      <c r="D144" s="28" t="s">
        <v>691</v>
      </c>
      <c r="E144" s="10">
        <f>Source!AQ53</f>
        <v>32.49</v>
      </c>
      <c r="F144" s="29"/>
      <c r="G144" s="30" t="str">
        <f>Source!DI53</f>
        <v>)*1,15</v>
      </c>
      <c r="H144" s="29"/>
      <c r="I144" s="30"/>
      <c r="J144" s="30"/>
      <c r="K144" s="29"/>
      <c r="L144" s="40">
        <f>Source!U53</f>
        <v>70.766469000000001</v>
      </c>
    </row>
    <row r="145" spans="1:26" ht="14.25" x14ac:dyDescent="0.2">
      <c r="A145" s="44" t="str">
        <f>Source!E54</f>
        <v>11,1</v>
      </c>
      <c r="B145" s="45" t="str">
        <f>Source!F54</f>
        <v>04.3.02.05-0002</v>
      </c>
      <c r="C145" s="45" t="str">
        <f>Source!G54</f>
        <v>Смесь штукатурная «Ротбанд», КНАУФ</v>
      </c>
      <c r="D145" s="28" t="str">
        <f>Source!H54</f>
        <v>кг</v>
      </c>
      <c r="E145" s="10">
        <f>Source!I54</f>
        <v>1609.9</v>
      </c>
      <c r="F145" s="29">
        <f>Source!AL54+Source!AM54+Source!AO54</f>
        <v>2.0699999999999998</v>
      </c>
      <c r="G145" s="41" t="s">
        <v>3</v>
      </c>
      <c r="H145" s="29">
        <f>ROUND(Source!AC54*Source!I54, 2)+ROUND(Source!AD54*Source!I54, 2)+ROUND(Source!AF54*Source!I54, 2)</f>
        <v>3332.49</v>
      </c>
      <c r="I145" s="30"/>
      <c r="J145" s="30">
        <f>IF(Source!BC54&lt;&gt; 0, Source!BC54, 1)</f>
        <v>6.61</v>
      </c>
      <c r="K145" s="29">
        <f>Source!O54</f>
        <v>22027.78</v>
      </c>
      <c r="L145" s="31"/>
      <c r="S145">
        <f>ROUND((Source!FX54/100)*((ROUND(Source!AF54*Source!I54, 2)+ROUND(Source!AE54*Source!I54, 2))), 2)</f>
        <v>0</v>
      </c>
      <c r="T145">
        <f>Source!X54</f>
        <v>0</v>
      </c>
      <c r="U145">
        <f>ROUND((Source!FY54/100)*((ROUND(Source!AF54*Source!I54, 2)+ROUND(Source!AE54*Source!I54, 2))), 2)</f>
        <v>0</v>
      </c>
      <c r="V145">
        <f>Source!Y54</f>
        <v>0</v>
      </c>
      <c r="W145">
        <f>IF(Source!BI54&lt;=1,H145, 0)</f>
        <v>3332.49</v>
      </c>
      <c r="X145">
        <f>IF(Source!BI54=2,H145, 0)</f>
        <v>0</v>
      </c>
      <c r="Y145">
        <f>IF(Source!BI54=3,H145, 0)</f>
        <v>0</v>
      </c>
      <c r="Z145">
        <f>IF(Source!BI54=4,H145, 0)</f>
        <v>0</v>
      </c>
    </row>
    <row r="146" spans="1:26" ht="14.25" x14ac:dyDescent="0.2">
      <c r="A146" s="44" t="str">
        <f>Source!E55</f>
        <v>11,2</v>
      </c>
      <c r="B146" s="45" t="str">
        <f>Source!F55</f>
        <v>04.3.02.09</v>
      </c>
      <c r="C146" s="45" t="str">
        <f>Source!G55</f>
        <v>Смеси на цементной основе</v>
      </c>
      <c r="D146" s="28" t="str">
        <f>Source!H55</f>
        <v>т</v>
      </c>
      <c r="E146" s="10">
        <f>Source!I55</f>
        <v>1.6099000000000001</v>
      </c>
      <c r="F146" s="29">
        <f>Source!AL55+Source!AM55+Source!AO55</f>
        <v>0</v>
      </c>
      <c r="G146" s="41" t="s">
        <v>3</v>
      </c>
      <c r="H146" s="29">
        <f>ROUND(Source!AC55*Source!I55, 2)+ROUND(Source!AD55*Source!I55, 2)+ROUND(Source!AF55*Source!I55, 2)</f>
        <v>0</v>
      </c>
      <c r="I146" s="30"/>
      <c r="J146" s="30">
        <f>IF(Source!BC55&lt;&gt; 0, Source!BC55, 1)</f>
        <v>6.61</v>
      </c>
      <c r="K146" s="29">
        <f>Source!O55</f>
        <v>0</v>
      </c>
      <c r="L146" s="31"/>
      <c r="S146">
        <f>ROUND((Source!FX55/100)*((ROUND(Source!AF55*Source!I55, 2)+ROUND(Source!AE55*Source!I55, 2))), 2)</f>
        <v>0</v>
      </c>
      <c r="T146">
        <f>Source!X55</f>
        <v>0</v>
      </c>
      <c r="U146">
        <f>ROUND((Source!FY55/100)*((ROUND(Source!AF55*Source!I55, 2)+ROUND(Source!AE55*Source!I55, 2))), 2)</f>
        <v>0</v>
      </c>
      <c r="V146">
        <f>Source!Y55</f>
        <v>0</v>
      </c>
      <c r="W146">
        <f>IF(Source!BI55&lt;=1,H146, 0)</f>
        <v>0</v>
      </c>
      <c r="X146">
        <f>IF(Source!BI55=2,H146, 0)</f>
        <v>0</v>
      </c>
      <c r="Y146">
        <f>IF(Source!BI55=3,H146, 0)</f>
        <v>0</v>
      </c>
      <c r="Z146">
        <f>IF(Source!BI55=4,H146, 0)</f>
        <v>0</v>
      </c>
    </row>
    <row r="147" spans="1:26" ht="14.25" x14ac:dyDescent="0.2">
      <c r="A147" s="46" t="str">
        <f>Source!E56</f>
        <v>11,3</v>
      </c>
      <c r="B147" s="47" t="str">
        <f>Source!F56</f>
        <v>14.3.01.02-0101</v>
      </c>
      <c r="C147" s="47" t="str">
        <f>Source!G56</f>
        <v>Грунтовка акриловая: ВД-АК-133</v>
      </c>
      <c r="D147" s="33" t="str">
        <f>Source!H56</f>
        <v>т</v>
      </c>
      <c r="E147" s="34">
        <f>Source!I56</f>
        <v>2.4622000000000002E-2</v>
      </c>
      <c r="F147" s="35">
        <f>Source!AL56+Source!AM56+Source!AO56</f>
        <v>11594.98</v>
      </c>
      <c r="G147" s="42" t="s">
        <v>3</v>
      </c>
      <c r="H147" s="35">
        <f>ROUND(Source!AC56*Source!I56, 2)+ROUND(Source!AD56*Source!I56, 2)+ROUND(Source!AF56*Source!I56, 2)</f>
        <v>285.49</v>
      </c>
      <c r="I147" s="36"/>
      <c r="J147" s="36">
        <f>IF(Source!BC56&lt;&gt; 0, Source!BC56, 1)</f>
        <v>6.61</v>
      </c>
      <c r="K147" s="35">
        <f>Source!O56</f>
        <v>1887.1</v>
      </c>
      <c r="L147" s="43"/>
      <c r="S147">
        <f>ROUND((Source!FX56/100)*((ROUND(Source!AF56*Source!I56, 2)+ROUND(Source!AE56*Source!I56, 2))), 2)</f>
        <v>0</v>
      </c>
      <c r="T147">
        <f>Source!X56</f>
        <v>0</v>
      </c>
      <c r="U147">
        <f>ROUND((Source!FY56/100)*((ROUND(Source!AF56*Source!I56, 2)+ROUND(Source!AE56*Source!I56, 2))), 2)</f>
        <v>0</v>
      </c>
      <c r="V147">
        <f>Source!Y56</f>
        <v>0</v>
      </c>
      <c r="W147">
        <f>IF(Source!BI56&lt;=1,H147, 0)</f>
        <v>285.49</v>
      </c>
      <c r="X147">
        <f>IF(Source!BI56=2,H147, 0)</f>
        <v>0</v>
      </c>
      <c r="Y147">
        <f>IF(Source!BI56=3,H147, 0)</f>
        <v>0</v>
      </c>
      <c r="Z147">
        <f>IF(Source!BI56=4,H147, 0)</f>
        <v>0</v>
      </c>
    </row>
    <row r="148" spans="1:26" ht="15" x14ac:dyDescent="0.25">
      <c r="G148" s="68">
        <f>H138+H139+H141+H142+H143+SUM(H145:H147)</f>
        <v>5150.6399999999994</v>
      </c>
      <c r="H148" s="68"/>
      <c r="J148" s="68">
        <f>K138+K139+K141+K142+K143+SUM(K145:K147)</f>
        <v>34076.83</v>
      </c>
      <c r="K148" s="68"/>
      <c r="L148" s="38">
        <f>Source!U53</f>
        <v>70.766469000000001</v>
      </c>
      <c r="O148" s="24">
        <f>G148</f>
        <v>5150.6399999999994</v>
      </c>
      <c r="P148" s="24">
        <f>J148</f>
        <v>34076.83</v>
      </c>
      <c r="Q148" s="24">
        <f>L148</f>
        <v>70.766469000000001</v>
      </c>
      <c r="W148">
        <f>IF(Source!BI53&lt;=1,H138+H139+H141+H142+H143, 0)</f>
        <v>1532.6600000000003</v>
      </c>
      <c r="X148">
        <f>IF(Source!BI53=2,H138+H139+H141+H142+H143, 0)</f>
        <v>0</v>
      </c>
      <c r="Y148">
        <f>IF(Source!BI53=3,H138+H139+H141+H142+H143, 0)</f>
        <v>0</v>
      </c>
      <c r="Z148">
        <f>IF(Source!BI53=4,H138+H139+H141+H142+H143, 0)</f>
        <v>0</v>
      </c>
    </row>
    <row r="149" spans="1:26" ht="28.5" x14ac:dyDescent="0.2">
      <c r="A149" s="44" t="str">
        <f>Source!E57</f>
        <v>12</v>
      </c>
      <c r="B149" s="45" t="str">
        <f>Source!F57</f>
        <v>15-04-006-03</v>
      </c>
      <c r="C149" s="45" t="str">
        <f>Source!G57</f>
        <v>Покрытие поверхностей грунтовкой глубокого проникновения за 1 раз стен</v>
      </c>
      <c r="D149" s="28" t="str">
        <f>Source!H57</f>
        <v>100 м2</v>
      </c>
      <c r="E149" s="10">
        <f>Source!I57</f>
        <v>1.8939999999999999</v>
      </c>
      <c r="F149" s="29">
        <f>Source!AL57+Source!AM57+Source!AO57</f>
        <v>64.16</v>
      </c>
      <c r="G149" s="30"/>
      <c r="H149" s="29"/>
      <c r="I149" s="30" t="str">
        <f>Source!BO57</f>
        <v/>
      </c>
      <c r="J149" s="30"/>
      <c r="K149" s="29"/>
      <c r="L149" s="31"/>
      <c r="S149">
        <f>ROUND((Source!FX57/100)*((ROUND(Source!AF57*Source!I57, 2)+ROUND(Source!AE57*Source!I57, 2))), 2)</f>
        <v>130.29</v>
      </c>
      <c r="T149">
        <f>Source!X57</f>
        <v>865.72</v>
      </c>
      <c r="U149">
        <f>ROUND((Source!FY57/100)*((ROUND(Source!AF57*Source!I57, 2)+ROUND(Source!AE57*Source!I57, 2))), 2)</f>
        <v>64.45</v>
      </c>
      <c r="V149">
        <f>Source!Y57</f>
        <v>428.3</v>
      </c>
    </row>
    <row r="150" spans="1:26" x14ac:dyDescent="0.2">
      <c r="C150" s="23" t="str">
        <f>"Объем: "&amp;Source!I57&amp;"=189,4/"&amp;"100"</f>
        <v>Объем: 1,894=189,4/100</v>
      </c>
    </row>
    <row r="151" spans="1:26" ht="14.25" x14ac:dyDescent="0.2">
      <c r="A151" s="44"/>
      <c r="B151" s="45"/>
      <c r="C151" s="45" t="s">
        <v>686</v>
      </c>
      <c r="D151" s="28"/>
      <c r="E151" s="10"/>
      <c r="F151" s="29">
        <f>Source!AO57</f>
        <v>63.01</v>
      </c>
      <c r="G151" s="30" t="str">
        <f>Source!DG57</f>
        <v>)*1,15</v>
      </c>
      <c r="H151" s="29">
        <f>ROUND(Source!AF57*Source!I57, 2)</f>
        <v>137.24</v>
      </c>
      <c r="I151" s="30"/>
      <c r="J151" s="30">
        <f>IF(Source!BA57&lt;&gt; 0, Source!BA57, 1)</f>
        <v>6.61</v>
      </c>
      <c r="K151" s="29">
        <f>Source!S57</f>
        <v>907.15</v>
      </c>
      <c r="L151" s="31"/>
      <c r="R151">
        <f>H151</f>
        <v>137.24</v>
      </c>
    </row>
    <row r="152" spans="1:26" ht="14.25" x14ac:dyDescent="0.2">
      <c r="A152" s="44"/>
      <c r="B152" s="45"/>
      <c r="C152" s="45" t="s">
        <v>222</v>
      </c>
      <c r="D152" s="28"/>
      <c r="E152" s="10"/>
      <c r="F152" s="29">
        <f>Source!AM57</f>
        <v>0.97</v>
      </c>
      <c r="G152" s="30" t="str">
        <f>Source!DE57</f>
        <v>)*1,25</v>
      </c>
      <c r="H152" s="29">
        <f>ROUND(Source!AD57*Source!I57, 2)</f>
        <v>2.31</v>
      </c>
      <c r="I152" s="30"/>
      <c r="J152" s="30">
        <f>IF(Source!BB57&lt;&gt; 0, Source!BB57, 1)</f>
        <v>6.61</v>
      </c>
      <c r="K152" s="29">
        <f>Source!Q57</f>
        <v>15.27</v>
      </c>
      <c r="L152" s="31"/>
    </row>
    <row r="153" spans="1:26" ht="14.25" x14ac:dyDescent="0.2">
      <c r="A153" s="44"/>
      <c r="B153" s="45"/>
      <c r="C153" s="45" t="s">
        <v>692</v>
      </c>
      <c r="D153" s="28"/>
      <c r="E153" s="10"/>
      <c r="F153" s="29">
        <f>Source!AN57</f>
        <v>0.26</v>
      </c>
      <c r="G153" s="30" t="str">
        <f>Source!DF57</f>
        <v>)*1,25</v>
      </c>
      <c r="H153" s="39">
        <f>ROUND(Source!AE57*Source!I57, 2)</f>
        <v>0.63</v>
      </c>
      <c r="I153" s="30"/>
      <c r="J153" s="30">
        <f>IF(Source!BS57&lt;&gt; 0, Source!BS57, 1)</f>
        <v>6.61</v>
      </c>
      <c r="K153" s="39">
        <f>Source!R57</f>
        <v>4.13</v>
      </c>
      <c r="L153" s="31"/>
      <c r="R153">
        <f>H153</f>
        <v>0.63</v>
      </c>
    </row>
    <row r="154" spans="1:26" ht="14.25" x14ac:dyDescent="0.2">
      <c r="A154" s="44"/>
      <c r="B154" s="45"/>
      <c r="C154" s="45" t="s">
        <v>693</v>
      </c>
      <c r="D154" s="28"/>
      <c r="E154" s="10"/>
      <c r="F154" s="29">
        <f>Source!AL57</f>
        <v>0.18</v>
      </c>
      <c r="G154" s="30" t="str">
        <f>Source!DD57</f>
        <v/>
      </c>
      <c r="H154" s="29">
        <f>ROUND(Source!AC57*Source!I57, 2)</f>
        <v>0.34</v>
      </c>
      <c r="I154" s="30"/>
      <c r="J154" s="30">
        <f>IF(Source!BC57&lt;&gt; 0, Source!BC57, 1)</f>
        <v>6.61</v>
      </c>
      <c r="K154" s="29">
        <f>Source!P57</f>
        <v>2.25</v>
      </c>
      <c r="L154" s="31"/>
    </row>
    <row r="155" spans="1:26" ht="14.25" x14ac:dyDescent="0.2">
      <c r="A155" s="44"/>
      <c r="B155" s="45"/>
      <c r="C155" s="45" t="s">
        <v>687</v>
      </c>
      <c r="D155" s="28" t="s">
        <v>688</v>
      </c>
      <c r="E155" s="10">
        <f>Source!BZ57</f>
        <v>105</v>
      </c>
      <c r="F155" s="56" t="str">
        <f>CONCATENATE(" )", Source!DL57, Source!FT57, "=", Source!FX57)</f>
        <v xml:space="preserve"> )*0,9=94,5</v>
      </c>
      <c r="G155" s="69"/>
      <c r="H155" s="29">
        <f>SUM(S149:S159)</f>
        <v>130.29</v>
      </c>
      <c r="I155" s="32"/>
      <c r="J155" s="27">
        <f>Source!AT57</f>
        <v>95</v>
      </c>
      <c r="K155" s="29">
        <f>SUM(T149:T159)</f>
        <v>865.72</v>
      </c>
      <c r="L155" s="31"/>
    </row>
    <row r="156" spans="1:26" ht="14.25" x14ac:dyDescent="0.2">
      <c r="A156" s="44"/>
      <c r="B156" s="45"/>
      <c r="C156" s="45" t="s">
        <v>689</v>
      </c>
      <c r="D156" s="28" t="s">
        <v>688</v>
      </c>
      <c r="E156" s="10">
        <f>Source!CA57</f>
        <v>55</v>
      </c>
      <c r="F156" s="56" t="str">
        <f>CONCATENATE(" )", Source!DM57, Source!FU57, "=", Source!FY57)</f>
        <v xml:space="preserve"> )*0,85=46,75</v>
      </c>
      <c r="G156" s="69"/>
      <c r="H156" s="29">
        <f>SUM(U149:U159)</f>
        <v>64.45</v>
      </c>
      <c r="I156" s="32"/>
      <c r="J156" s="27">
        <f>Source!AU57</f>
        <v>47</v>
      </c>
      <c r="K156" s="29">
        <f>SUM(V149:V159)</f>
        <v>428.3</v>
      </c>
      <c r="L156" s="31"/>
    </row>
    <row r="157" spans="1:26" ht="14.25" x14ac:dyDescent="0.2">
      <c r="A157" s="44"/>
      <c r="B157" s="45"/>
      <c r="C157" s="45" t="s">
        <v>690</v>
      </c>
      <c r="D157" s="28" t="s">
        <v>691</v>
      </c>
      <c r="E157" s="10">
        <f>Source!AQ57</f>
        <v>6.55</v>
      </c>
      <c r="F157" s="29"/>
      <c r="G157" s="30" t="str">
        <f>Source!DI57</f>
        <v>)*1,15</v>
      </c>
      <c r="H157" s="29"/>
      <c r="I157" s="30"/>
      <c r="J157" s="30"/>
      <c r="K157" s="29"/>
      <c r="L157" s="40">
        <f>Source!U57</f>
        <v>14.266554999999997</v>
      </c>
    </row>
    <row r="158" spans="1:26" ht="14.25" x14ac:dyDescent="0.2">
      <c r="A158" s="44" t="str">
        <f>Source!E58</f>
        <v>12,1</v>
      </c>
      <c r="B158" s="45" t="str">
        <f>Source!F58</f>
        <v>14.3.01.02-0101</v>
      </c>
      <c r="C158" s="45" t="str">
        <f>Source!G58</f>
        <v>Грунтовка акриловая: ВД-АК-133</v>
      </c>
      <c r="D158" s="28" t="str">
        <f>Source!H58</f>
        <v>т</v>
      </c>
      <c r="E158" s="10">
        <f>Source!I58</f>
        <v>2.4622000000000002E-2</v>
      </c>
      <c r="F158" s="29">
        <f>Source!AL58+Source!AM58+Source!AO58</f>
        <v>11594.98</v>
      </c>
      <c r="G158" s="41" t="s">
        <v>3</v>
      </c>
      <c r="H158" s="29">
        <f>ROUND(Source!AC58*Source!I58, 2)+ROUND(Source!AD58*Source!I58, 2)+ROUND(Source!AF58*Source!I58, 2)</f>
        <v>285.49</v>
      </c>
      <c r="I158" s="30"/>
      <c r="J158" s="30">
        <f>IF(Source!BC58&lt;&gt; 0, Source!BC58, 1)</f>
        <v>6.61</v>
      </c>
      <c r="K158" s="29">
        <f>Source!O58</f>
        <v>1887.1</v>
      </c>
      <c r="L158" s="31"/>
      <c r="S158">
        <f>ROUND((Source!FX58/100)*((ROUND(Source!AF58*Source!I58, 2)+ROUND(Source!AE58*Source!I58, 2))), 2)</f>
        <v>0</v>
      </c>
      <c r="T158">
        <f>Source!X58</f>
        <v>0</v>
      </c>
      <c r="U158">
        <f>ROUND((Source!FY58/100)*((ROUND(Source!AF58*Source!I58, 2)+ROUND(Source!AE58*Source!I58, 2))), 2)</f>
        <v>0</v>
      </c>
      <c r="V158">
        <f>Source!Y58</f>
        <v>0</v>
      </c>
      <c r="W158">
        <f>IF(Source!BI58&lt;=1,H158, 0)</f>
        <v>285.49</v>
      </c>
      <c r="X158">
        <f>IF(Source!BI58=2,H158, 0)</f>
        <v>0</v>
      </c>
      <c r="Y158">
        <f>IF(Source!BI58=3,H158, 0)</f>
        <v>0</v>
      </c>
      <c r="Z158">
        <f>IF(Source!BI58=4,H158, 0)</f>
        <v>0</v>
      </c>
    </row>
    <row r="159" spans="1:26" ht="14.25" x14ac:dyDescent="0.2">
      <c r="A159" s="46" t="str">
        <f>Source!E59</f>
        <v>12,2</v>
      </c>
      <c r="B159" s="47" t="str">
        <f>Source!F59</f>
        <v>14.4.01.21</v>
      </c>
      <c r="C159" s="47" t="str">
        <f>Source!G59</f>
        <v>Грунтовка</v>
      </c>
      <c r="D159" s="33" t="str">
        <f>Source!H59</f>
        <v>т</v>
      </c>
      <c r="E159" s="34">
        <f>Source!I59</f>
        <v>2.4622000000000002E-2</v>
      </c>
      <c r="F159" s="35">
        <f>Source!AL59+Source!AM59+Source!AO59</f>
        <v>0</v>
      </c>
      <c r="G159" s="42" t="s">
        <v>3</v>
      </c>
      <c r="H159" s="35">
        <f>ROUND(Source!AC59*Source!I59, 2)+ROUND(Source!AD59*Source!I59, 2)+ROUND(Source!AF59*Source!I59, 2)</f>
        <v>0</v>
      </c>
      <c r="I159" s="36"/>
      <c r="J159" s="36">
        <f>IF(Source!BC59&lt;&gt; 0, Source!BC59, 1)</f>
        <v>6.61</v>
      </c>
      <c r="K159" s="35">
        <f>Source!O59</f>
        <v>0</v>
      </c>
      <c r="L159" s="43"/>
      <c r="S159">
        <f>ROUND((Source!FX59/100)*((ROUND(Source!AF59*Source!I59, 2)+ROUND(Source!AE59*Source!I59, 2))), 2)</f>
        <v>0</v>
      </c>
      <c r="T159">
        <f>Source!X59</f>
        <v>0</v>
      </c>
      <c r="U159">
        <f>ROUND((Source!FY59/100)*((ROUND(Source!AF59*Source!I59, 2)+ROUND(Source!AE59*Source!I59, 2))), 2)</f>
        <v>0</v>
      </c>
      <c r="V159">
        <f>Source!Y59</f>
        <v>0</v>
      </c>
      <c r="W159">
        <f>IF(Source!BI59&lt;=1,H159, 0)</f>
        <v>0</v>
      </c>
      <c r="X159">
        <f>IF(Source!BI59=2,H159, 0)</f>
        <v>0</v>
      </c>
      <c r="Y159">
        <f>IF(Source!BI59=3,H159, 0)</f>
        <v>0</v>
      </c>
      <c r="Z159">
        <f>IF(Source!BI59=4,H159, 0)</f>
        <v>0</v>
      </c>
    </row>
    <row r="160" spans="1:26" ht="15" x14ac:dyDescent="0.25">
      <c r="G160" s="68">
        <f>H151+H152+H154+H155+H156+SUM(H158:H159)</f>
        <v>620.12</v>
      </c>
      <c r="H160" s="68"/>
      <c r="J160" s="68">
        <f>K151+K152+K154+K155+K156+SUM(K158:K159)</f>
        <v>4105.79</v>
      </c>
      <c r="K160" s="68"/>
      <c r="L160" s="38">
        <f>Source!U57</f>
        <v>14.266554999999997</v>
      </c>
      <c r="O160" s="24">
        <f>G160</f>
        <v>620.12</v>
      </c>
      <c r="P160" s="24">
        <f>J160</f>
        <v>4105.79</v>
      </c>
      <c r="Q160" s="24">
        <f>L160</f>
        <v>14.266554999999997</v>
      </c>
      <c r="W160">
        <f>IF(Source!BI57&lt;=1,H151+H152+H154+H155+H156, 0)</f>
        <v>334.63</v>
      </c>
      <c r="X160">
        <f>IF(Source!BI57=2,H151+H152+H154+H155+H156, 0)</f>
        <v>0</v>
      </c>
      <c r="Y160">
        <f>IF(Source!BI57=3,H151+H152+H154+H155+H156, 0)</f>
        <v>0</v>
      </c>
      <c r="Z160">
        <f>IF(Source!BI57=4,H151+H152+H154+H155+H156, 0)</f>
        <v>0</v>
      </c>
    </row>
    <row r="161" spans="1:26" ht="42.75" x14ac:dyDescent="0.2">
      <c r="A161" s="44" t="str">
        <f>Source!E60</f>
        <v>13</v>
      </c>
      <c r="B161" s="45" t="str">
        <f>Source!F60</f>
        <v>15-06-001-01</v>
      </c>
      <c r="C161" s="45" t="str">
        <f>Source!G60</f>
        <v>Оклейка обоями стен по монолитной штукатурке и бетону простыми и средней плотности</v>
      </c>
      <c r="D161" s="28" t="str">
        <f>Source!H60</f>
        <v>100 м2</v>
      </c>
      <c r="E161" s="10">
        <f>Source!I60</f>
        <v>1.8939999999999999</v>
      </c>
      <c r="F161" s="29">
        <f>Source!AL60+Source!AM60+Source!AO60</f>
        <v>419.87</v>
      </c>
      <c r="G161" s="30"/>
      <c r="H161" s="29"/>
      <c r="I161" s="30" t="str">
        <f>Source!BO60</f>
        <v/>
      </c>
      <c r="J161" s="30"/>
      <c r="K161" s="29"/>
      <c r="L161" s="31"/>
      <c r="S161">
        <f>ROUND((Source!FX60/100)*((ROUND(Source!AF60*Source!I60, 2)+ROUND(Source!AE60*Source!I60, 2))), 2)</f>
        <v>613.88</v>
      </c>
      <c r="T161">
        <f>Source!X60</f>
        <v>4079.19</v>
      </c>
      <c r="U161">
        <f>ROUND((Source!FY60/100)*((ROUND(Source!AF60*Source!I60, 2)+ROUND(Source!AE60*Source!I60, 2))), 2)</f>
        <v>303.69</v>
      </c>
      <c r="V161">
        <f>Source!Y60</f>
        <v>2018.12</v>
      </c>
    </row>
    <row r="162" spans="1:26" x14ac:dyDescent="0.2">
      <c r="C162" s="23" t="str">
        <f>"Объем: "&amp;Source!I60&amp;"=189,4/"&amp;"100"</f>
        <v>Объем: 1,894=189,4/100</v>
      </c>
    </row>
    <row r="163" spans="1:26" ht="14.25" x14ac:dyDescent="0.2">
      <c r="A163" s="44"/>
      <c r="B163" s="45"/>
      <c r="C163" s="45" t="s">
        <v>686</v>
      </c>
      <c r="D163" s="28"/>
      <c r="E163" s="10"/>
      <c r="F163" s="29">
        <f>Source!AO60</f>
        <v>297.95999999999998</v>
      </c>
      <c r="G163" s="30" t="str">
        <f>Source!DG60</f>
        <v>)*1,15</v>
      </c>
      <c r="H163" s="29">
        <f>ROUND(Source!AF60*Source!I60, 2)</f>
        <v>648.98</v>
      </c>
      <c r="I163" s="30"/>
      <c r="J163" s="30">
        <f>IF(Source!BA60&lt;&gt; 0, Source!BA60, 1)</f>
        <v>6.61</v>
      </c>
      <c r="K163" s="29">
        <f>Source!S60</f>
        <v>4289.75</v>
      </c>
      <c r="L163" s="31"/>
      <c r="R163">
        <f>H163</f>
        <v>648.98</v>
      </c>
    </row>
    <row r="164" spans="1:26" ht="14.25" x14ac:dyDescent="0.2">
      <c r="A164" s="44"/>
      <c r="B164" s="45"/>
      <c r="C164" s="45" t="s">
        <v>222</v>
      </c>
      <c r="D164" s="28"/>
      <c r="E164" s="10"/>
      <c r="F164" s="29">
        <f>Source!AM60</f>
        <v>0.97</v>
      </c>
      <c r="G164" s="30" t="str">
        <f>Source!DE60</f>
        <v>)*1,25</v>
      </c>
      <c r="H164" s="29">
        <f>ROUND(Source!AD60*Source!I60, 2)</f>
        <v>2.31</v>
      </c>
      <c r="I164" s="30"/>
      <c r="J164" s="30">
        <f>IF(Source!BB60&lt;&gt; 0, Source!BB60, 1)</f>
        <v>6.61</v>
      </c>
      <c r="K164" s="29">
        <f>Source!Q60</f>
        <v>15.27</v>
      </c>
      <c r="L164" s="31"/>
    </row>
    <row r="165" spans="1:26" ht="14.25" x14ac:dyDescent="0.2">
      <c r="A165" s="44"/>
      <c r="B165" s="45"/>
      <c r="C165" s="45" t="s">
        <v>692</v>
      </c>
      <c r="D165" s="28"/>
      <c r="E165" s="10"/>
      <c r="F165" s="29">
        <f>Source!AN60</f>
        <v>0.26</v>
      </c>
      <c r="G165" s="30" t="str">
        <f>Source!DF60</f>
        <v>)*1,25</v>
      </c>
      <c r="H165" s="39">
        <f>ROUND(Source!AE60*Source!I60, 2)</f>
        <v>0.63</v>
      </c>
      <c r="I165" s="30"/>
      <c r="J165" s="30">
        <f>IF(Source!BS60&lt;&gt; 0, Source!BS60, 1)</f>
        <v>6.61</v>
      </c>
      <c r="K165" s="39">
        <f>Source!R60</f>
        <v>4.13</v>
      </c>
      <c r="L165" s="31"/>
      <c r="R165">
        <f>H165</f>
        <v>0.63</v>
      </c>
    </row>
    <row r="166" spans="1:26" ht="14.25" x14ac:dyDescent="0.2">
      <c r="A166" s="44"/>
      <c r="B166" s="45"/>
      <c r="C166" s="45" t="s">
        <v>693</v>
      </c>
      <c r="D166" s="28"/>
      <c r="E166" s="10"/>
      <c r="F166" s="29">
        <f>Source!AL60</f>
        <v>120.94</v>
      </c>
      <c r="G166" s="30" t="str">
        <f>Source!DD60</f>
        <v/>
      </c>
      <c r="H166" s="29">
        <f>ROUND(Source!AC60*Source!I60, 2)</f>
        <v>229.06</v>
      </c>
      <c r="I166" s="30"/>
      <c r="J166" s="30">
        <f>IF(Source!BC60&lt;&gt; 0, Source!BC60, 1)</f>
        <v>6.61</v>
      </c>
      <c r="K166" s="29">
        <f>Source!P60</f>
        <v>1514.09</v>
      </c>
      <c r="L166" s="31"/>
    </row>
    <row r="167" spans="1:26" ht="14.25" x14ac:dyDescent="0.2">
      <c r="A167" s="44"/>
      <c r="B167" s="45"/>
      <c r="C167" s="45" t="s">
        <v>687</v>
      </c>
      <c r="D167" s="28" t="s">
        <v>688</v>
      </c>
      <c r="E167" s="10">
        <f>Source!BZ60</f>
        <v>105</v>
      </c>
      <c r="F167" s="56" t="str">
        <f>CONCATENATE(" )", Source!DL60, Source!FT60, "=", Source!FX60)</f>
        <v xml:space="preserve"> )*0,9=94,5</v>
      </c>
      <c r="G167" s="69"/>
      <c r="H167" s="29">
        <f>SUM(S161:S171)</f>
        <v>613.88</v>
      </c>
      <c r="I167" s="32"/>
      <c r="J167" s="27">
        <f>Source!AT60</f>
        <v>95</v>
      </c>
      <c r="K167" s="29">
        <f>SUM(T161:T171)</f>
        <v>4079.19</v>
      </c>
      <c r="L167" s="31"/>
    </row>
    <row r="168" spans="1:26" ht="14.25" x14ac:dyDescent="0.2">
      <c r="A168" s="44"/>
      <c r="B168" s="45"/>
      <c r="C168" s="45" t="s">
        <v>689</v>
      </c>
      <c r="D168" s="28" t="s">
        <v>688</v>
      </c>
      <c r="E168" s="10">
        <f>Source!CA60</f>
        <v>55</v>
      </c>
      <c r="F168" s="56" t="str">
        <f>CONCATENATE(" )", Source!DM60, Source!FU60, "=", Source!FY60)</f>
        <v xml:space="preserve"> )*0,85=46,75</v>
      </c>
      <c r="G168" s="69"/>
      <c r="H168" s="29">
        <f>SUM(U161:U171)</f>
        <v>303.69</v>
      </c>
      <c r="I168" s="32"/>
      <c r="J168" s="27">
        <f>Source!AU60</f>
        <v>47</v>
      </c>
      <c r="K168" s="29">
        <f>SUM(V161:V171)</f>
        <v>2018.12</v>
      </c>
      <c r="L168" s="31"/>
    </row>
    <row r="169" spans="1:26" ht="14.25" x14ac:dyDescent="0.2">
      <c r="A169" s="44"/>
      <c r="B169" s="45"/>
      <c r="C169" s="45" t="s">
        <v>690</v>
      </c>
      <c r="D169" s="28" t="s">
        <v>691</v>
      </c>
      <c r="E169" s="10">
        <f>Source!AQ60</f>
        <v>33.630000000000003</v>
      </c>
      <c r="F169" s="29"/>
      <c r="G169" s="30" t="str">
        <f>Source!DI60</f>
        <v>)*1,15</v>
      </c>
      <c r="H169" s="29"/>
      <c r="I169" s="30"/>
      <c r="J169" s="30"/>
      <c r="K169" s="29"/>
      <c r="L169" s="40">
        <f>Source!U60</f>
        <v>73.249503000000004</v>
      </c>
    </row>
    <row r="170" spans="1:26" ht="14.25" x14ac:dyDescent="0.2">
      <c r="A170" s="44" t="str">
        <f>Source!E61</f>
        <v>13,1</v>
      </c>
      <c r="B170" s="45" t="str">
        <f>Source!F61</f>
        <v>01.6.02.02-0002</v>
      </c>
      <c r="C170" s="45" t="str">
        <f>Source!G61</f>
        <v>Стеклообои TASSOGLAS, елочка</v>
      </c>
      <c r="D170" s="28" t="str">
        <f>Source!H61</f>
        <v>10 м2</v>
      </c>
      <c r="E170" s="10">
        <f>Source!I61</f>
        <v>21.402200000000001</v>
      </c>
      <c r="F170" s="29">
        <f>Source!AL61+Source!AM61+Source!AO61</f>
        <v>110.35</v>
      </c>
      <c r="G170" s="41" t="s">
        <v>3</v>
      </c>
      <c r="H170" s="29">
        <f>ROUND(Source!AC61*Source!I61, 2)+ROUND(Source!AD61*Source!I61, 2)+ROUND(Source!AF61*Source!I61, 2)</f>
        <v>2361.73</v>
      </c>
      <c r="I170" s="30"/>
      <c r="J170" s="30">
        <f>IF(Source!BC61&lt;&gt; 0, Source!BC61, 1)</f>
        <v>6.61</v>
      </c>
      <c r="K170" s="29">
        <f>Source!O61</f>
        <v>15611.05</v>
      </c>
      <c r="L170" s="31"/>
      <c r="S170">
        <f>ROUND((Source!FX61/100)*((ROUND(Source!AF61*Source!I61, 2)+ROUND(Source!AE61*Source!I61, 2))), 2)</f>
        <v>0</v>
      </c>
      <c r="T170">
        <f>Source!X61</f>
        <v>0</v>
      </c>
      <c r="U170">
        <f>ROUND((Source!FY61/100)*((ROUND(Source!AF61*Source!I61, 2)+ROUND(Source!AE61*Source!I61, 2))), 2)</f>
        <v>0</v>
      </c>
      <c r="V170">
        <f>Source!Y61</f>
        <v>0</v>
      </c>
      <c r="W170">
        <f>IF(Source!BI61&lt;=1,H170, 0)</f>
        <v>2361.73</v>
      </c>
      <c r="X170">
        <f>IF(Source!BI61=2,H170, 0)</f>
        <v>0</v>
      </c>
      <c r="Y170">
        <f>IF(Source!BI61=3,H170, 0)</f>
        <v>0</v>
      </c>
      <c r="Z170">
        <f>IF(Source!BI61=4,H170, 0)</f>
        <v>0</v>
      </c>
    </row>
    <row r="171" spans="1:26" ht="14.25" x14ac:dyDescent="0.2">
      <c r="A171" s="46" t="str">
        <f>Source!E62</f>
        <v>13,2</v>
      </c>
      <c r="B171" s="47" t="str">
        <f>Source!F62</f>
        <v>01.6.02.01</v>
      </c>
      <c r="C171" s="47" t="str">
        <f>Source!G62</f>
        <v>Обои</v>
      </c>
      <c r="D171" s="33" t="str">
        <f>Source!H62</f>
        <v>100 м2</v>
      </c>
      <c r="E171" s="34">
        <f>Source!I62</f>
        <v>2.1402199999999998</v>
      </c>
      <c r="F171" s="35">
        <f>Source!AL62+Source!AM62+Source!AO62</f>
        <v>0</v>
      </c>
      <c r="G171" s="42" t="s">
        <v>3</v>
      </c>
      <c r="H171" s="35">
        <f>ROUND(Source!AC62*Source!I62, 2)+ROUND(Source!AD62*Source!I62, 2)+ROUND(Source!AF62*Source!I62, 2)</f>
        <v>0</v>
      </c>
      <c r="I171" s="36"/>
      <c r="J171" s="36">
        <f>IF(Source!BC62&lt;&gt; 0, Source!BC62, 1)</f>
        <v>6.61</v>
      </c>
      <c r="K171" s="35">
        <f>Source!O62</f>
        <v>0</v>
      </c>
      <c r="L171" s="43"/>
      <c r="S171">
        <f>ROUND((Source!FX62/100)*((ROUND(Source!AF62*Source!I62, 2)+ROUND(Source!AE62*Source!I62, 2))), 2)</f>
        <v>0</v>
      </c>
      <c r="T171">
        <f>Source!X62</f>
        <v>0</v>
      </c>
      <c r="U171">
        <f>ROUND((Source!FY62/100)*((ROUND(Source!AF62*Source!I62, 2)+ROUND(Source!AE62*Source!I62, 2))), 2)</f>
        <v>0</v>
      </c>
      <c r="V171">
        <f>Source!Y62</f>
        <v>0</v>
      </c>
      <c r="W171">
        <f>IF(Source!BI62&lt;=1,H171, 0)</f>
        <v>0</v>
      </c>
      <c r="X171">
        <f>IF(Source!BI62=2,H171, 0)</f>
        <v>0</v>
      </c>
      <c r="Y171">
        <f>IF(Source!BI62=3,H171, 0)</f>
        <v>0</v>
      </c>
      <c r="Z171">
        <f>IF(Source!BI62=4,H171, 0)</f>
        <v>0</v>
      </c>
    </row>
    <row r="172" spans="1:26" ht="15" x14ac:dyDescent="0.25">
      <c r="G172" s="68">
        <f>H163+H164+H166+H167+H168+SUM(H170:H171)</f>
        <v>4159.6499999999996</v>
      </c>
      <c r="H172" s="68"/>
      <c r="J172" s="68">
        <f>K163+K164+K166+K167+K168+SUM(K170:K171)</f>
        <v>27527.47</v>
      </c>
      <c r="K172" s="68"/>
      <c r="L172" s="38">
        <f>Source!U60</f>
        <v>73.249503000000004</v>
      </c>
      <c r="O172" s="24">
        <f>G172</f>
        <v>4159.6499999999996</v>
      </c>
      <c r="P172" s="24">
        <f>J172</f>
        <v>27527.47</v>
      </c>
      <c r="Q172" s="24">
        <f>L172</f>
        <v>73.249503000000004</v>
      </c>
      <c r="W172">
        <f>IF(Source!BI60&lt;=1,H163+H164+H166+H167+H168, 0)</f>
        <v>1797.92</v>
      </c>
      <c r="X172">
        <f>IF(Source!BI60=2,H163+H164+H166+H167+H168, 0)</f>
        <v>0</v>
      </c>
      <c r="Y172">
        <f>IF(Source!BI60=3,H163+H164+H166+H167+H168, 0)</f>
        <v>0</v>
      </c>
      <c r="Z172">
        <f>IF(Source!BI60=4,H163+H164+H166+H167+H168, 0)</f>
        <v>0</v>
      </c>
    </row>
    <row r="173" spans="1:26" ht="57" x14ac:dyDescent="0.2">
      <c r="A173" s="44" t="str">
        <f>Source!E63</f>
        <v>14</v>
      </c>
      <c r="B173" s="45" t="str">
        <f>Source!F63</f>
        <v>15-04-005-05</v>
      </c>
      <c r="C173" s="45" t="str">
        <f>Source!G63</f>
        <v>Окраска поливинилацетатными водоэмульсионными составами улучшенная по сборным конструкциям стен, подготовленным под окраску</v>
      </c>
      <c r="D173" s="28" t="str">
        <f>Source!H63</f>
        <v>100 м2</v>
      </c>
      <c r="E173" s="10">
        <f>Source!I63</f>
        <v>1.8939999999999999</v>
      </c>
      <c r="F173" s="29">
        <f>Source!AL63+Source!AM63+Source!AO63</f>
        <v>317.59000000000003</v>
      </c>
      <c r="G173" s="30"/>
      <c r="H173" s="29"/>
      <c r="I173" s="30" t="str">
        <f>Source!BO63</f>
        <v/>
      </c>
      <c r="J173" s="30"/>
      <c r="K173" s="29"/>
      <c r="L173" s="31"/>
      <c r="S173">
        <f>ROUND((Source!FX63/100)*((ROUND(Source!AF63*Source!I63, 2)+ROUND(Source!AE63*Source!I63, 2))), 2)</f>
        <v>472.07</v>
      </c>
      <c r="T173">
        <f>Source!X63</f>
        <v>3136.88</v>
      </c>
      <c r="U173">
        <f>ROUND((Source!FY63/100)*((ROUND(Source!AF63*Source!I63, 2)+ROUND(Source!AE63*Source!I63, 2))), 2)</f>
        <v>233.54</v>
      </c>
      <c r="V173">
        <f>Source!Y63</f>
        <v>1551.93</v>
      </c>
    </row>
    <row r="174" spans="1:26" x14ac:dyDescent="0.2">
      <c r="C174" s="23" t="str">
        <f>"Объем: "&amp;Source!I63&amp;"=189,4/"&amp;"100"</f>
        <v>Объем: 1,894=189,4/100</v>
      </c>
    </row>
    <row r="175" spans="1:26" ht="14.25" x14ac:dyDescent="0.2">
      <c r="A175" s="44"/>
      <c r="B175" s="45"/>
      <c r="C175" s="45" t="s">
        <v>686</v>
      </c>
      <c r="D175" s="28"/>
      <c r="E175" s="10"/>
      <c r="F175" s="29">
        <f>Source!AO63</f>
        <v>227.93</v>
      </c>
      <c r="G175" s="30" t="str">
        <f>Source!DG63</f>
        <v>)*1,15</v>
      </c>
      <c r="H175" s="29">
        <f>ROUND(Source!AF63*Source!I63, 2)</f>
        <v>496.46</v>
      </c>
      <c r="I175" s="30"/>
      <c r="J175" s="30">
        <f>IF(Source!BA63&lt;&gt; 0, Source!BA63, 1)</f>
        <v>6.61</v>
      </c>
      <c r="K175" s="29">
        <f>Source!S63</f>
        <v>3281.57</v>
      </c>
      <c r="L175" s="31"/>
      <c r="R175">
        <f>H175</f>
        <v>496.46</v>
      </c>
    </row>
    <row r="176" spans="1:26" ht="14.25" x14ac:dyDescent="0.2">
      <c r="A176" s="44"/>
      <c r="B176" s="45"/>
      <c r="C176" s="45" t="s">
        <v>222</v>
      </c>
      <c r="D176" s="28"/>
      <c r="E176" s="10"/>
      <c r="F176" s="29">
        <f>Source!AM63</f>
        <v>6.88</v>
      </c>
      <c r="G176" s="30" t="str">
        <f>Source!DE63</f>
        <v>)*1,25</v>
      </c>
      <c r="H176" s="29">
        <f>ROUND(Source!AD63*Source!I63, 2)</f>
        <v>16.309999999999999</v>
      </c>
      <c r="I176" s="30"/>
      <c r="J176" s="30">
        <f>IF(Source!BB63&lt;&gt; 0, Source!BB63, 1)</f>
        <v>6.61</v>
      </c>
      <c r="K176" s="29">
        <f>Source!Q63</f>
        <v>107.79</v>
      </c>
      <c r="L176" s="31"/>
    </row>
    <row r="177" spans="1:26" ht="14.25" x14ac:dyDescent="0.2">
      <c r="A177" s="44"/>
      <c r="B177" s="45"/>
      <c r="C177" s="45" t="s">
        <v>692</v>
      </c>
      <c r="D177" s="28"/>
      <c r="E177" s="10"/>
      <c r="F177" s="29">
        <f>Source!AN63</f>
        <v>1.3</v>
      </c>
      <c r="G177" s="30" t="str">
        <f>Source!DF63</f>
        <v>)*1,25</v>
      </c>
      <c r="H177" s="39">
        <f>ROUND(Source!AE63*Source!I63, 2)</f>
        <v>3.09</v>
      </c>
      <c r="I177" s="30"/>
      <c r="J177" s="30">
        <f>IF(Source!BS63&lt;&gt; 0, Source!BS63, 1)</f>
        <v>6.61</v>
      </c>
      <c r="K177" s="39">
        <f>Source!R63</f>
        <v>20.41</v>
      </c>
      <c r="L177" s="31"/>
      <c r="R177">
        <f>H177</f>
        <v>3.09</v>
      </c>
    </row>
    <row r="178" spans="1:26" ht="14.25" x14ac:dyDescent="0.2">
      <c r="A178" s="44"/>
      <c r="B178" s="45"/>
      <c r="C178" s="45" t="s">
        <v>693</v>
      </c>
      <c r="D178" s="28"/>
      <c r="E178" s="10"/>
      <c r="F178" s="29">
        <f>Source!AL63</f>
        <v>82.78</v>
      </c>
      <c r="G178" s="30" t="str">
        <f>Source!DD63</f>
        <v/>
      </c>
      <c r="H178" s="29">
        <f>ROUND(Source!AC63*Source!I63, 2)</f>
        <v>156.79</v>
      </c>
      <c r="I178" s="30"/>
      <c r="J178" s="30">
        <f>IF(Source!BC63&lt;&gt; 0, Source!BC63, 1)</f>
        <v>6.61</v>
      </c>
      <c r="K178" s="29">
        <f>Source!P63</f>
        <v>1036.3499999999999</v>
      </c>
      <c r="L178" s="31"/>
    </row>
    <row r="179" spans="1:26" ht="14.25" x14ac:dyDescent="0.2">
      <c r="A179" s="44"/>
      <c r="B179" s="45"/>
      <c r="C179" s="45" t="s">
        <v>687</v>
      </c>
      <c r="D179" s="28" t="s">
        <v>688</v>
      </c>
      <c r="E179" s="10">
        <f>Source!BZ63</f>
        <v>105</v>
      </c>
      <c r="F179" s="56" t="str">
        <f>CONCATENATE(" )", Source!DL63, Source!FT63, "=", Source!FX63)</f>
        <v xml:space="preserve"> )*0,9=94,5</v>
      </c>
      <c r="G179" s="69"/>
      <c r="H179" s="29">
        <f>SUM(S173:S183)</f>
        <v>472.07</v>
      </c>
      <c r="I179" s="32"/>
      <c r="J179" s="27">
        <f>Source!AT63</f>
        <v>95</v>
      </c>
      <c r="K179" s="29">
        <f>SUM(T173:T183)</f>
        <v>3136.88</v>
      </c>
      <c r="L179" s="31"/>
    </row>
    <row r="180" spans="1:26" ht="14.25" x14ac:dyDescent="0.2">
      <c r="A180" s="44"/>
      <c r="B180" s="45"/>
      <c r="C180" s="45" t="s">
        <v>689</v>
      </c>
      <c r="D180" s="28" t="s">
        <v>688</v>
      </c>
      <c r="E180" s="10">
        <f>Source!CA63</f>
        <v>55</v>
      </c>
      <c r="F180" s="56" t="str">
        <f>CONCATENATE(" )", Source!DM63, Source!FU63, "=", Source!FY63)</f>
        <v xml:space="preserve"> )*0,85=46,75</v>
      </c>
      <c r="G180" s="69"/>
      <c r="H180" s="29">
        <f>SUM(U173:U183)</f>
        <v>233.54</v>
      </c>
      <c r="I180" s="32"/>
      <c r="J180" s="27">
        <f>Source!AU63</f>
        <v>47</v>
      </c>
      <c r="K180" s="29">
        <f>SUM(V173:V183)</f>
        <v>1551.93</v>
      </c>
      <c r="L180" s="31"/>
    </row>
    <row r="181" spans="1:26" ht="14.25" x14ac:dyDescent="0.2">
      <c r="A181" s="44"/>
      <c r="B181" s="45"/>
      <c r="C181" s="45" t="s">
        <v>690</v>
      </c>
      <c r="D181" s="28" t="s">
        <v>691</v>
      </c>
      <c r="E181" s="10">
        <f>Source!AQ63</f>
        <v>25.41</v>
      </c>
      <c r="F181" s="29"/>
      <c r="G181" s="30" t="str">
        <f>Source!DI63</f>
        <v>)*1,15</v>
      </c>
      <c r="H181" s="29"/>
      <c r="I181" s="30"/>
      <c r="J181" s="30"/>
      <c r="K181" s="29"/>
      <c r="L181" s="40">
        <f>Source!U63</f>
        <v>55.345520999999998</v>
      </c>
    </row>
    <row r="182" spans="1:26" ht="54" x14ac:dyDescent="0.2">
      <c r="A182" s="44" t="str">
        <f>Source!E64</f>
        <v>14,1</v>
      </c>
      <c r="B182" s="45" t="str">
        <f>Source!F64</f>
        <v>Цена поставщика</v>
      </c>
      <c r="C182" s="45" t="s">
        <v>694</v>
      </c>
      <c r="D182" s="28" t="str">
        <f>Source!H64</f>
        <v>кг</v>
      </c>
      <c r="E182" s="10">
        <f>Source!I64</f>
        <v>119.322</v>
      </c>
      <c r="F182" s="29">
        <f>Source!AL64+Source!AM64+Source!AO64</f>
        <v>31.27</v>
      </c>
      <c r="G182" s="41" t="s">
        <v>3</v>
      </c>
      <c r="H182" s="29">
        <f>ROUND(Source!AC64*Source!I64, 2)+ROUND(Source!AD64*Source!I64, 2)+ROUND(Source!AF64*Source!I64, 2)</f>
        <v>3731.2</v>
      </c>
      <c r="I182" s="30"/>
      <c r="J182" s="30">
        <f>IF(Source!BC64&lt;&gt; 0, Source!BC64, 1)</f>
        <v>6.61</v>
      </c>
      <c r="K182" s="29">
        <f>Source!O64</f>
        <v>24663.22</v>
      </c>
      <c r="L182" s="31"/>
      <c r="S182">
        <f>ROUND((Source!FX64/100)*((ROUND(Source!AF64*Source!I64, 2)+ROUND(Source!AE64*Source!I64, 2))), 2)</f>
        <v>0</v>
      </c>
      <c r="T182">
        <f>Source!X64</f>
        <v>0</v>
      </c>
      <c r="U182">
        <f>ROUND((Source!FY64/100)*((ROUND(Source!AF64*Source!I64, 2)+ROUND(Source!AE64*Source!I64, 2))), 2)</f>
        <v>0</v>
      </c>
      <c r="V182">
        <f>Source!Y64</f>
        <v>0</v>
      </c>
      <c r="W182">
        <f>IF(Source!BI64&lt;=1,H182, 0)</f>
        <v>3731.2</v>
      </c>
      <c r="X182">
        <f>IF(Source!BI64=2,H182, 0)</f>
        <v>0</v>
      </c>
      <c r="Y182">
        <f>IF(Source!BI64=3,H182, 0)</f>
        <v>0</v>
      </c>
      <c r="Z182">
        <f>IF(Source!BI64=4,H182, 0)</f>
        <v>0</v>
      </c>
    </row>
    <row r="183" spans="1:26" ht="14.25" x14ac:dyDescent="0.2">
      <c r="A183" s="46" t="str">
        <f>Source!E65</f>
        <v>14,2</v>
      </c>
      <c r="B183" s="47" t="str">
        <f>Source!F65</f>
        <v>14.3.02.01</v>
      </c>
      <c r="C183" s="47" t="str">
        <f>Source!G65</f>
        <v>Краска водоэмульсионная</v>
      </c>
      <c r="D183" s="33" t="str">
        <f>Source!H65</f>
        <v>т</v>
      </c>
      <c r="E183" s="34">
        <f>Source!I65</f>
        <v>0.119322</v>
      </c>
      <c r="F183" s="35">
        <f>Source!AL65+Source!AM65+Source!AO65</f>
        <v>0</v>
      </c>
      <c r="G183" s="42" t="s">
        <v>3</v>
      </c>
      <c r="H183" s="35">
        <f>ROUND(Source!AC65*Source!I65, 2)+ROUND(Source!AD65*Source!I65, 2)+ROUND(Source!AF65*Source!I65, 2)</f>
        <v>0</v>
      </c>
      <c r="I183" s="36"/>
      <c r="J183" s="36">
        <f>IF(Source!BC65&lt;&gt; 0, Source!BC65, 1)</f>
        <v>6.61</v>
      </c>
      <c r="K183" s="35">
        <f>Source!O65</f>
        <v>0</v>
      </c>
      <c r="L183" s="43"/>
      <c r="S183">
        <f>ROUND((Source!FX65/100)*((ROUND(Source!AF65*Source!I65, 2)+ROUND(Source!AE65*Source!I65, 2))), 2)</f>
        <v>0</v>
      </c>
      <c r="T183">
        <f>Source!X65</f>
        <v>0</v>
      </c>
      <c r="U183">
        <f>ROUND((Source!FY65/100)*((ROUND(Source!AF65*Source!I65, 2)+ROUND(Source!AE65*Source!I65, 2))), 2)</f>
        <v>0</v>
      </c>
      <c r="V183">
        <f>Source!Y65</f>
        <v>0</v>
      </c>
      <c r="W183">
        <f>IF(Source!BI65&lt;=1,H183, 0)</f>
        <v>0</v>
      </c>
      <c r="X183">
        <f>IF(Source!BI65=2,H183, 0)</f>
        <v>0</v>
      </c>
      <c r="Y183">
        <f>IF(Source!BI65=3,H183, 0)</f>
        <v>0</v>
      </c>
      <c r="Z183">
        <f>IF(Source!BI65=4,H183, 0)</f>
        <v>0</v>
      </c>
    </row>
    <row r="184" spans="1:26" ht="15" x14ac:dyDescent="0.25">
      <c r="G184" s="68">
        <f>H175+H176+H178+H179+H180+SUM(H182:H183)</f>
        <v>5106.37</v>
      </c>
      <c r="H184" s="68"/>
      <c r="J184" s="68">
        <f>K175+K176+K178+K179+K180+SUM(K182:K183)</f>
        <v>33777.740000000005</v>
      </c>
      <c r="K184" s="68"/>
      <c r="L184" s="38">
        <f>Source!U63</f>
        <v>55.345520999999998</v>
      </c>
      <c r="O184" s="24">
        <f>G184</f>
        <v>5106.37</v>
      </c>
      <c r="P184" s="24">
        <f>J184</f>
        <v>33777.740000000005</v>
      </c>
      <c r="Q184" s="24">
        <f>L184</f>
        <v>55.345520999999998</v>
      </c>
      <c r="W184">
        <f>IF(Source!BI63&lt;=1,H175+H176+H178+H179+H180, 0)</f>
        <v>1375.1699999999998</v>
      </c>
      <c r="X184">
        <f>IF(Source!BI63=2,H175+H176+H178+H179+H180, 0)</f>
        <v>0</v>
      </c>
      <c r="Y184">
        <f>IF(Source!BI63=3,H175+H176+H178+H179+H180, 0)</f>
        <v>0</v>
      </c>
      <c r="Z184">
        <f>IF(Source!BI63=4,H175+H176+H178+H179+H180, 0)</f>
        <v>0</v>
      </c>
    </row>
    <row r="185" spans="1:26" ht="28.5" x14ac:dyDescent="0.2">
      <c r="A185" s="44" t="str">
        <f>Source!E66</f>
        <v>15</v>
      </c>
      <c r="B185" s="45" t="str">
        <f>Source!F66</f>
        <v>15-06-004-01</v>
      </c>
      <c r="C185" s="45" t="str">
        <f>Source!G66</f>
        <v>Вторая окраска стен, оклееных стеклообоями, красками</v>
      </c>
      <c r="D185" s="28" t="str">
        <f>Source!H66</f>
        <v>100 м2</v>
      </c>
      <c r="E185" s="10">
        <f>Source!I66</f>
        <v>1.8939999999999999</v>
      </c>
      <c r="F185" s="29">
        <f>Source!AL66+Source!AM66+Source!AO66</f>
        <v>80.62</v>
      </c>
      <c r="G185" s="30"/>
      <c r="H185" s="29"/>
      <c r="I185" s="30" t="str">
        <f>Source!BO66</f>
        <v/>
      </c>
      <c r="J185" s="30"/>
      <c r="K185" s="29"/>
      <c r="L185" s="31"/>
      <c r="S185">
        <f>ROUND((Source!FX66/100)*((ROUND(Source!AF66*Source!I66, 2)+ROUND(Source!AE66*Source!I66, 2))), 2)</f>
        <v>165.93</v>
      </c>
      <c r="T185">
        <f>Source!X66</f>
        <v>1102.6400000000001</v>
      </c>
      <c r="U185">
        <f>ROUND((Source!FY66/100)*((ROUND(Source!AF66*Source!I66, 2)+ROUND(Source!AE66*Source!I66, 2))), 2)</f>
        <v>82.09</v>
      </c>
      <c r="V185">
        <f>Source!Y66</f>
        <v>545.51</v>
      </c>
    </row>
    <row r="186" spans="1:26" x14ac:dyDescent="0.2">
      <c r="C186" s="23" t="str">
        <f>"Объем: "&amp;Source!I66&amp;"=189,4/"&amp;"100"</f>
        <v>Объем: 1,894=189,4/100</v>
      </c>
    </row>
    <row r="187" spans="1:26" ht="14.25" x14ac:dyDescent="0.2">
      <c r="A187" s="44"/>
      <c r="B187" s="45"/>
      <c r="C187" s="45" t="s">
        <v>686</v>
      </c>
      <c r="D187" s="28"/>
      <c r="E187" s="10"/>
      <c r="F187" s="29">
        <f>Source!AO66</f>
        <v>80.62</v>
      </c>
      <c r="G187" s="30" t="str">
        <f>Source!DG66</f>
        <v>)*1,15</v>
      </c>
      <c r="H187" s="29">
        <f>ROUND(Source!AF66*Source!I66, 2)</f>
        <v>175.59</v>
      </c>
      <c r="I187" s="30"/>
      <c r="J187" s="30">
        <f>IF(Source!BA66&lt;&gt; 0, Source!BA66, 1)</f>
        <v>6.61</v>
      </c>
      <c r="K187" s="29">
        <f>Source!S66</f>
        <v>1160.67</v>
      </c>
      <c r="L187" s="31"/>
      <c r="R187">
        <f>H187</f>
        <v>175.59</v>
      </c>
    </row>
    <row r="188" spans="1:26" ht="14.25" x14ac:dyDescent="0.2">
      <c r="A188" s="44"/>
      <c r="B188" s="45"/>
      <c r="C188" s="45" t="s">
        <v>687</v>
      </c>
      <c r="D188" s="28" t="s">
        <v>688</v>
      </c>
      <c r="E188" s="10">
        <f>Source!BZ66</f>
        <v>105</v>
      </c>
      <c r="F188" s="56" t="str">
        <f>CONCATENATE(" )", Source!DL66, Source!FT66, "=", Source!FX66)</f>
        <v xml:space="preserve"> )*0,9=94,5</v>
      </c>
      <c r="G188" s="69"/>
      <c r="H188" s="29">
        <f>SUM(S185:S192)</f>
        <v>165.93</v>
      </c>
      <c r="I188" s="32"/>
      <c r="J188" s="27">
        <f>Source!AT66</f>
        <v>95</v>
      </c>
      <c r="K188" s="29">
        <f>SUM(T185:T192)</f>
        <v>1102.6400000000001</v>
      </c>
      <c r="L188" s="31"/>
    </row>
    <row r="189" spans="1:26" ht="14.25" x14ac:dyDescent="0.2">
      <c r="A189" s="44"/>
      <c r="B189" s="45"/>
      <c r="C189" s="45" t="s">
        <v>689</v>
      </c>
      <c r="D189" s="28" t="s">
        <v>688</v>
      </c>
      <c r="E189" s="10">
        <f>Source!CA66</f>
        <v>55</v>
      </c>
      <c r="F189" s="56" t="str">
        <f>CONCATENATE(" )", Source!DM66, Source!FU66, "=", Source!FY66)</f>
        <v xml:space="preserve"> )*0,85=46,75</v>
      </c>
      <c r="G189" s="69"/>
      <c r="H189" s="29">
        <f>SUM(U185:U192)</f>
        <v>82.09</v>
      </c>
      <c r="I189" s="32"/>
      <c r="J189" s="27">
        <f>Source!AU66</f>
        <v>47</v>
      </c>
      <c r="K189" s="29">
        <f>SUM(V185:V192)</f>
        <v>545.51</v>
      </c>
      <c r="L189" s="31"/>
    </row>
    <row r="190" spans="1:26" ht="14.25" x14ac:dyDescent="0.2">
      <c r="A190" s="44"/>
      <c r="B190" s="45"/>
      <c r="C190" s="45" t="s">
        <v>690</v>
      </c>
      <c r="D190" s="28" t="s">
        <v>691</v>
      </c>
      <c r="E190" s="10">
        <f>Source!AQ66</f>
        <v>8.3800000000000008</v>
      </c>
      <c r="F190" s="29"/>
      <c r="G190" s="30" t="str">
        <f>Source!DI66</f>
        <v>)*1,15</v>
      </c>
      <c r="H190" s="29"/>
      <c r="I190" s="30"/>
      <c r="J190" s="30"/>
      <c r="K190" s="29"/>
      <c r="L190" s="40">
        <f>Source!U66</f>
        <v>18.252478</v>
      </c>
    </row>
    <row r="191" spans="1:26" ht="54" x14ac:dyDescent="0.2">
      <c r="A191" s="44" t="str">
        <f>Source!E67</f>
        <v>15,1</v>
      </c>
      <c r="B191" s="45" t="str">
        <f>Source!F67</f>
        <v>Цена поставщика</v>
      </c>
      <c r="C191" s="45" t="s">
        <v>694</v>
      </c>
      <c r="D191" s="28" t="str">
        <f>Source!H67</f>
        <v>кг</v>
      </c>
      <c r="E191" s="10">
        <f>Source!I67</f>
        <v>30.303999999999998</v>
      </c>
      <c r="F191" s="29">
        <f>Source!AL67+Source!AM67+Source!AO67</f>
        <v>31.27</v>
      </c>
      <c r="G191" s="41" t="s">
        <v>3</v>
      </c>
      <c r="H191" s="29">
        <f>ROUND(Source!AC67*Source!I67, 2)+ROUND(Source!AD67*Source!I67, 2)+ROUND(Source!AF67*Source!I67, 2)</f>
        <v>947.61</v>
      </c>
      <c r="I191" s="30"/>
      <c r="J191" s="30">
        <f>IF(Source!BC67&lt;&gt; 0, Source!BC67, 1)</f>
        <v>6.61</v>
      </c>
      <c r="K191" s="29">
        <f>Source!O67</f>
        <v>6263.68</v>
      </c>
      <c r="L191" s="31"/>
      <c r="S191">
        <f>ROUND((Source!FX67/100)*((ROUND(Source!AF67*Source!I67, 2)+ROUND(Source!AE67*Source!I67, 2))), 2)</f>
        <v>0</v>
      </c>
      <c r="T191">
        <f>Source!X67</f>
        <v>0</v>
      </c>
      <c r="U191">
        <f>ROUND((Source!FY67/100)*((ROUND(Source!AF67*Source!I67, 2)+ROUND(Source!AE67*Source!I67, 2))), 2)</f>
        <v>0</v>
      </c>
      <c r="V191">
        <f>Source!Y67</f>
        <v>0</v>
      </c>
      <c r="W191">
        <f>IF(Source!BI67&lt;=1,H191, 0)</f>
        <v>947.61</v>
      </c>
      <c r="X191">
        <f>IF(Source!BI67=2,H191, 0)</f>
        <v>0</v>
      </c>
      <c r="Y191">
        <f>IF(Source!BI67=3,H191, 0)</f>
        <v>0</v>
      </c>
      <c r="Z191">
        <f>IF(Source!BI67=4,H191, 0)</f>
        <v>0</v>
      </c>
    </row>
    <row r="192" spans="1:26" ht="14.25" x14ac:dyDescent="0.2">
      <c r="A192" s="46" t="str">
        <f>Source!E68</f>
        <v>15,2</v>
      </c>
      <c r="B192" s="47" t="str">
        <f>Source!F68</f>
        <v>14.4.02.09</v>
      </c>
      <c r="C192" s="47" t="str">
        <f>Source!G68</f>
        <v>Краска</v>
      </c>
      <c r="D192" s="33" t="str">
        <f>Source!H68</f>
        <v>т</v>
      </c>
      <c r="E192" s="34">
        <f>Source!I68</f>
        <v>3.0303999999999998E-2</v>
      </c>
      <c r="F192" s="35">
        <f>Source!AL68+Source!AM68+Source!AO68</f>
        <v>0</v>
      </c>
      <c r="G192" s="42" t="s">
        <v>3</v>
      </c>
      <c r="H192" s="35">
        <f>ROUND(Source!AC68*Source!I68, 2)+ROUND(Source!AD68*Source!I68, 2)+ROUND(Source!AF68*Source!I68, 2)</f>
        <v>0</v>
      </c>
      <c r="I192" s="36"/>
      <c r="J192" s="36">
        <f>IF(Source!BC68&lt;&gt; 0, Source!BC68, 1)</f>
        <v>6.61</v>
      </c>
      <c r="K192" s="35">
        <f>Source!O68</f>
        <v>0</v>
      </c>
      <c r="L192" s="43"/>
      <c r="S192">
        <f>ROUND((Source!FX68/100)*((ROUND(Source!AF68*Source!I68, 2)+ROUND(Source!AE68*Source!I68, 2))), 2)</f>
        <v>0</v>
      </c>
      <c r="T192">
        <f>Source!X68</f>
        <v>0</v>
      </c>
      <c r="U192">
        <f>ROUND((Source!FY68/100)*((ROUND(Source!AF68*Source!I68, 2)+ROUND(Source!AE68*Source!I68, 2))), 2)</f>
        <v>0</v>
      </c>
      <c r="V192">
        <f>Source!Y68</f>
        <v>0</v>
      </c>
      <c r="W192">
        <f>IF(Source!BI68&lt;=1,H192, 0)</f>
        <v>0</v>
      </c>
      <c r="X192">
        <f>IF(Source!BI68=2,H192, 0)</f>
        <v>0</v>
      </c>
      <c r="Y192">
        <f>IF(Source!BI68=3,H192, 0)</f>
        <v>0</v>
      </c>
      <c r="Z192">
        <f>IF(Source!BI68=4,H192, 0)</f>
        <v>0</v>
      </c>
    </row>
    <row r="193" spans="1:26" ht="15" x14ac:dyDescent="0.25">
      <c r="G193" s="68">
        <f>H187+H188+H189+SUM(H191:H192)</f>
        <v>1371.22</v>
      </c>
      <c r="H193" s="68"/>
      <c r="J193" s="68">
        <f>K187+K188+K189+SUM(K191:K192)</f>
        <v>9072.5</v>
      </c>
      <c r="K193" s="68"/>
      <c r="L193" s="38">
        <f>Source!U66</f>
        <v>18.252478</v>
      </c>
      <c r="O193" s="24">
        <f>G193</f>
        <v>1371.22</v>
      </c>
      <c r="P193" s="24">
        <f>J193</f>
        <v>9072.5</v>
      </c>
      <c r="Q193" s="24">
        <f>L193</f>
        <v>18.252478</v>
      </c>
      <c r="W193">
        <f>IF(Source!BI66&lt;=1,H187+H188+H189, 0)</f>
        <v>423.61</v>
      </c>
      <c r="X193">
        <f>IF(Source!BI66=2,H187+H188+H189, 0)</f>
        <v>0</v>
      </c>
      <c r="Y193">
        <f>IF(Source!BI66=3,H187+H188+H189, 0)</f>
        <v>0</v>
      </c>
      <c r="Z193">
        <f>IF(Source!BI66=4,H187+H188+H189, 0)</f>
        <v>0</v>
      </c>
    </row>
    <row r="194" spans="1:26" ht="42.75" x14ac:dyDescent="0.2">
      <c r="A194" s="44" t="str">
        <f>Source!E69</f>
        <v>16</v>
      </c>
      <c r="B194" s="45" t="str">
        <f>Source!F69</f>
        <v>62-32-2</v>
      </c>
      <c r="C194" s="45" t="str">
        <f>Source!G69</f>
        <v>Окраска масляными составами ранее окрашенных поверхностей труб стальных за 2 раза</v>
      </c>
      <c r="D194" s="28" t="str">
        <f>Source!H69</f>
        <v>100 м2</v>
      </c>
      <c r="E194" s="10">
        <f>Source!I69</f>
        <v>0.18</v>
      </c>
      <c r="F194" s="29">
        <f>Source!AL69+Source!AM69+Source!AO69</f>
        <v>805.43999999999994</v>
      </c>
      <c r="G194" s="30"/>
      <c r="H194" s="29"/>
      <c r="I194" s="30" t="str">
        <f>Source!BO69</f>
        <v/>
      </c>
      <c r="J194" s="30"/>
      <c r="K194" s="29"/>
      <c r="L194" s="31"/>
      <c r="S194">
        <f>ROUND((Source!FX69/100)*((ROUND(Source!AF69*Source!I69, 2)+ROUND(Source!AE69*Source!I69, 2))), 2)</f>
        <v>93.91</v>
      </c>
      <c r="T194">
        <f>Source!X69</f>
        <v>620.76</v>
      </c>
      <c r="U194">
        <f>ROUND((Source!FY69/100)*((ROUND(Source!AF69*Source!I69, 2)+ROUND(Source!AE69*Source!I69, 2))), 2)</f>
        <v>58.7</v>
      </c>
      <c r="V194">
        <f>Source!Y69</f>
        <v>387.98</v>
      </c>
    </row>
    <row r="195" spans="1:26" x14ac:dyDescent="0.2">
      <c r="C195" s="23" t="str">
        <f>"Объем: "&amp;Source!I69&amp;"=18/"&amp;"100"</f>
        <v>Объем: 0,18=18/100</v>
      </c>
    </row>
    <row r="196" spans="1:26" ht="14.25" x14ac:dyDescent="0.2">
      <c r="A196" s="44"/>
      <c r="B196" s="45"/>
      <c r="C196" s="45" t="s">
        <v>686</v>
      </c>
      <c r="D196" s="28"/>
      <c r="E196" s="10"/>
      <c r="F196" s="29">
        <f>Source!AO69</f>
        <v>652.04999999999995</v>
      </c>
      <c r="G196" s="30" t="str">
        <f>Source!DG69</f>
        <v/>
      </c>
      <c r="H196" s="29">
        <f>ROUND(Source!AF69*Source!I69, 2)</f>
        <v>117.37</v>
      </c>
      <c r="I196" s="30"/>
      <c r="J196" s="30">
        <f>IF(Source!BA69&lt;&gt; 0, Source!BA69, 1)</f>
        <v>6.61</v>
      </c>
      <c r="K196" s="29">
        <f>Source!S69</f>
        <v>775.81</v>
      </c>
      <c r="L196" s="31"/>
      <c r="R196">
        <f>H196</f>
        <v>117.37</v>
      </c>
    </row>
    <row r="197" spans="1:26" ht="14.25" x14ac:dyDescent="0.2">
      <c r="A197" s="44"/>
      <c r="B197" s="45"/>
      <c r="C197" s="45" t="s">
        <v>222</v>
      </c>
      <c r="D197" s="28"/>
      <c r="E197" s="10"/>
      <c r="F197" s="29">
        <f>Source!AM69</f>
        <v>0.66</v>
      </c>
      <c r="G197" s="30" t="str">
        <f>Source!DE69</f>
        <v/>
      </c>
      <c r="H197" s="29">
        <f>ROUND(Source!AD69*Source!I69, 2)</f>
        <v>0.12</v>
      </c>
      <c r="I197" s="30"/>
      <c r="J197" s="30">
        <f>IF(Source!BB69&lt;&gt; 0, Source!BB69, 1)</f>
        <v>6.61</v>
      </c>
      <c r="K197" s="29">
        <f>Source!Q69</f>
        <v>0.79</v>
      </c>
      <c r="L197" s="31"/>
    </row>
    <row r="198" spans="1:26" ht="14.25" x14ac:dyDescent="0.2">
      <c r="A198" s="44"/>
      <c r="B198" s="45"/>
      <c r="C198" s="45" t="s">
        <v>692</v>
      </c>
      <c r="D198" s="28"/>
      <c r="E198" s="10"/>
      <c r="F198" s="29">
        <f>Source!AN69</f>
        <v>0.12</v>
      </c>
      <c r="G198" s="30" t="str">
        <f>Source!DF69</f>
        <v/>
      </c>
      <c r="H198" s="39">
        <f>ROUND(Source!AE69*Source!I69, 2)</f>
        <v>0.02</v>
      </c>
      <c r="I198" s="30"/>
      <c r="J198" s="30">
        <f>IF(Source!BS69&lt;&gt; 0, Source!BS69, 1)</f>
        <v>6.61</v>
      </c>
      <c r="K198" s="39">
        <f>Source!R69</f>
        <v>0.14000000000000001</v>
      </c>
      <c r="L198" s="31"/>
      <c r="R198">
        <f>H198</f>
        <v>0.02</v>
      </c>
    </row>
    <row r="199" spans="1:26" ht="14.25" x14ac:dyDescent="0.2">
      <c r="A199" s="44"/>
      <c r="B199" s="45"/>
      <c r="C199" s="45" t="s">
        <v>693</v>
      </c>
      <c r="D199" s="28"/>
      <c r="E199" s="10"/>
      <c r="F199" s="29">
        <f>Source!AL69</f>
        <v>152.72999999999999</v>
      </c>
      <c r="G199" s="30" t="str">
        <f>Source!DD69</f>
        <v/>
      </c>
      <c r="H199" s="29">
        <f>ROUND(Source!AC69*Source!I69, 2)</f>
        <v>27.49</v>
      </c>
      <c r="I199" s="30"/>
      <c r="J199" s="30">
        <f>IF(Source!BC69&lt;&gt; 0, Source!BC69, 1)</f>
        <v>6.61</v>
      </c>
      <c r="K199" s="29">
        <f>Source!P69</f>
        <v>181.72</v>
      </c>
      <c r="L199" s="31"/>
    </row>
    <row r="200" spans="1:26" ht="14.25" x14ac:dyDescent="0.2">
      <c r="A200" s="44"/>
      <c r="B200" s="45"/>
      <c r="C200" s="45" t="s">
        <v>687</v>
      </c>
      <c r="D200" s="28" t="s">
        <v>688</v>
      </c>
      <c r="E200" s="10">
        <f>Source!BZ69</f>
        <v>80</v>
      </c>
      <c r="F200" s="48"/>
      <c r="G200" s="30"/>
      <c r="H200" s="29">
        <f>SUM(S194:S203)</f>
        <v>93.91</v>
      </c>
      <c r="I200" s="32"/>
      <c r="J200" s="27">
        <f>Source!AT69</f>
        <v>80</v>
      </c>
      <c r="K200" s="29">
        <f>SUM(T194:T203)</f>
        <v>620.76</v>
      </c>
      <c r="L200" s="31"/>
    </row>
    <row r="201" spans="1:26" ht="14.25" x14ac:dyDescent="0.2">
      <c r="A201" s="44"/>
      <c r="B201" s="45"/>
      <c r="C201" s="45" t="s">
        <v>689</v>
      </c>
      <c r="D201" s="28" t="s">
        <v>688</v>
      </c>
      <c r="E201" s="10">
        <f>Source!CA69</f>
        <v>50</v>
      </c>
      <c r="F201" s="48"/>
      <c r="G201" s="30"/>
      <c r="H201" s="29">
        <f>SUM(U194:U203)</f>
        <v>58.7</v>
      </c>
      <c r="I201" s="32"/>
      <c r="J201" s="27">
        <f>Source!AU69</f>
        <v>50</v>
      </c>
      <c r="K201" s="29">
        <f>SUM(V194:V203)</f>
        <v>387.98</v>
      </c>
      <c r="L201" s="31"/>
    </row>
    <row r="202" spans="1:26" ht="14.25" x14ac:dyDescent="0.2">
      <c r="A202" s="44"/>
      <c r="B202" s="45"/>
      <c r="C202" s="45" t="s">
        <v>690</v>
      </c>
      <c r="D202" s="28" t="s">
        <v>691</v>
      </c>
      <c r="E202" s="10">
        <f>Source!AQ69</f>
        <v>80.599999999999994</v>
      </c>
      <c r="F202" s="29"/>
      <c r="G202" s="30" t="str">
        <f>Source!DI69</f>
        <v/>
      </c>
      <c r="H202" s="29"/>
      <c r="I202" s="30"/>
      <c r="J202" s="30"/>
      <c r="K202" s="29"/>
      <c r="L202" s="40">
        <f>Source!U69</f>
        <v>14.507999999999999</v>
      </c>
    </row>
    <row r="203" spans="1:26" ht="28.5" x14ac:dyDescent="0.2">
      <c r="A203" s="46" t="str">
        <f>Source!E70</f>
        <v>16,1</v>
      </c>
      <c r="B203" s="47" t="str">
        <f>Source!F70</f>
        <v>14.4.02.04</v>
      </c>
      <c r="C203" s="47" t="str">
        <f>Source!G70</f>
        <v>Краски для внутренних работ масляные готовые к применению</v>
      </c>
      <c r="D203" s="33" t="str">
        <f>Source!H70</f>
        <v>т</v>
      </c>
      <c r="E203" s="34">
        <f>Source!I70</f>
        <v>2.898E-3</v>
      </c>
      <c r="F203" s="35">
        <f>Source!AL70+Source!AM70+Source!AO70</f>
        <v>0</v>
      </c>
      <c r="G203" s="42" t="s">
        <v>3</v>
      </c>
      <c r="H203" s="35">
        <f>ROUND(Source!AC70*Source!I70, 2)+ROUND(Source!AD70*Source!I70, 2)+ROUND(Source!AF70*Source!I70, 2)</f>
        <v>0</v>
      </c>
      <c r="I203" s="36"/>
      <c r="J203" s="36">
        <f>IF(Source!BC70&lt;&gt; 0, Source!BC70, 1)</f>
        <v>6.61</v>
      </c>
      <c r="K203" s="35">
        <f>Source!O70</f>
        <v>0</v>
      </c>
      <c r="L203" s="43"/>
      <c r="S203">
        <f>ROUND((Source!FX70/100)*((ROUND(Source!AF70*Source!I70, 2)+ROUND(Source!AE70*Source!I70, 2))), 2)</f>
        <v>0</v>
      </c>
      <c r="T203">
        <f>Source!X70</f>
        <v>0</v>
      </c>
      <c r="U203">
        <f>ROUND((Source!FY70/100)*((ROUND(Source!AF70*Source!I70, 2)+ROUND(Source!AE70*Source!I70, 2))), 2)</f>
        <v>0</v>
      </c>
      <c r="V203">
        <f>Source!Y70</f>
        <v>0</v>
      </c>
      <c r="W203">
        <f>IF(Source!BI70&lt;=1,H203, 0)</f>
        <v>0</v>
      </c>
      <c r="X203">
        <f>IF(Source!BI70=2,H203, 0)</f>
        <v>0</v>
      </c>
      <c r="Y203">
        <f>IF(Source!BI70=3,H203, 0)</f>
        <v>0</v>
      </c>
      <c r="Z203">
        <f>IF(Source!BI70=4,H203, 0)</f>
        <v>0</v>
      </c>
    </row>
    <row r="204" spans="1:26" ht="15" x14ac:dyDescent="0.25">
      <c r="G204" s="68">
        <f>H196+H197+H199+H200+H201+SUM(H203:H203)</f>
        <v>297.59000000000003</v>
      </c>
      <c r="H204" s="68"/>
      <c r="J204" s="68">
        <f>K196+K197+K199+K200+K201+SUM(K203:K203)</f>
        <v>1967.06</v>
      </c>
      <c r="K204" s="68"/>
      <c r="L204" s="38">
        <f>Source!U69</f>
        <v>14.507999999999999</v>
      </c>
      <c r="O204" s="24">
        <f>G204</f>
        <v>297.59000000000003</v>
      </c>
      <c r="P204" s="24">
        <f>J204</f>
        <v>1967.06</v>
      </c>
      <c r="Q204" s="24">
        <f>L204</f>
        <v>14.507999999999999</v>
      </c>
      <c r="W204">
        <f>IF(Source!BI69&lt;=1,H196+H197+H199+H200+H201, 0)</f>
        <v>297.59000000000003</v>
      </c>
      <c r="X204">
        <f>IF(Source!BI69=2,H196+H197+H199+H200+H201, 0)</f>
        <v>0</v>
      </c>
      <c r="Y204">
        <f>IF(Source!BI69=3,H196+H197+H199+H200+H201, 0)</f>
        <v>0</v>
      </c>
      <c r="Z204">
        <f>IF(Source!BI69=4,H196+H197+H199+H200+H201, 0)</f>
        <v>0</v>
      </c>
    </row>
    <row r="205" spans="1:26" ht="15" x14ac:dyDescent="0.25">
      <c r="A205" s="66" t="str">
        <f>CONCATENATE("Итого по разделу: ",IF(Source!G72&lt;&gt;"Новый раздел", Source!G72, ""))</f>
        <v>Итого по разделу: 1 Общестроительные работы</v>
      </c>
      <c r="B205" s="66"/>
      <c r="C205" s="66"/>
      <c r="D205" s="66"/>
      <c r="E205" s="66"/>
      <c r="F205" s="66"/>
      <c r="G205" s="67">
        <f>SUM(O29:O204)</f>
        <v>59712.62000000001</v>
      </c>
      <c r="H205" s="67"/>
      <c r="I205" s="26"/>
      <c r="J205" s="67">
        <f>SUM(P29:P204)</f>
        <v>394903.22000000003</v>
      </c>
      <c r="K205" s="67"/>
      <c r="L205" s="38">
        <f>SUM(Q29:Q204)</f>
        <v>549.29948760000002</v>
      </c>
    </row>
    <row r="206" spans="1:26" ht="16.5" x14ac:dyDescent="0.25">
      <c r="A206" s="71" t="str">
        <f>CONCATENATE("Раздел: ",IF(Source!G101&lt;&gt;"Новый раздел", Source!G101, ""))</f>
        <v>Раздел: 2 Система электроснабжения</v>
      </c>
      <c r="B206" s="71"/>
      <c r="C206" s="71"/>
      <c r="D206" s="71"/>
      <c r="E206" s="71"/>
      <c r="F206" s="71"/>
      <c r="G206" s="71"/>
      <c r="H206" s="71"/>
      <c r="I206" s="71"/>
      <c r="J206" s="71"/>
      <c r="K206" s="71"/>
      <c r="L206" s="71"/>
    </row>
    <row r="207" spans="1:26" ht="28.5" x14ac:dyDescent="0.2">
      <c r="A207" s="44" t="str">
        <f>Source!E105</f>
        <v>17</v>
      </c>
      <c r="B207" s="45" t="str">
        <f>Source!F105</f>
        <v>67-4-5</v>
      </c>
      <c r="C207" s="45" t="str">
        <f>Source!G105</f>
        <v>Демонтаж светильников для люминесцентных ламп</v>
      </c>
      <c r="D207" s="28" t="str">
        <f>Source!H105</f>
        <v>100 ШТ</v>
      </c>
      <c r="E207" s="10">
        <f>Source!I105</f>
        <v>0.33</v>
      </c>
      <c r="F207" s="29">
        <f>Source!AL105+Source!AM105+Source!AO105</f>
        <v>145.97999999999999</v>
      </c>
      <c r="G207" s="30"/>
      <c r="H207" s="29"/>
      <c r="I207" s="30" t="str">
        <f>Source!BO105</f>
        <v/>
      </c>
      <c r="J207" s="30"/>
      <c r="K207" s="29"/>
      <c r="L207" s="31"/>
      <c r="S207">
        <f>ROUND((Source!FX105/100)*((ROUND(Source!AF105*Source!I105, 2)+ROUND(Source!AE105*Source!I105, 2))), 2)</f>
        <v>40.549999999999997</v>
      </c>
      <c r="T207">
        <f>Source!X105</f>
        <v>268.02999999999997</v>
      </c>
      <c r="U207">
        <f>ROUND((Source!FY105/100)*((ROUND(Source!AF105*Source!I105, 2)+ROUND(Source!AE105*Source!I105, 2))), 2)</f>
        <v>31.01</v>
      </c>
      <c r="V207">
        <f>Source!Y105</f>
        <v>204.96</v>
      </c>
    </row>
    <row r="208" spans="1:26" x14ac:dyDescent="0.2">
      <c r="C208" s="23" t="str">
        <f>"Объем: "&amp;Source!I105&amp;"=33/"&amp;"100"</f>
        <v>Объем: 0,33=33/100</v>
      </c>
    </row>
    <row r="209" spans="1:26" ht="14.25" x14ac:dyDescent="0.2">
      <c r="A209" s="44"/>
      <c r="B209" s="45"/>
      <c r="C209" s="45" t="s">
        <v>686</v>
      </c>
      <c r="D209" s="28"/>
      <c r="E209" s="10"/>
      <c r="F209" s="29">
        <f>Source!AO105</f>
        <v>143.47999999999999</v>
      </c>
      <c r="G209" s="30" t="str">
        <f>Source!DG105</f>
        <v/>
      </c>
      <c r="H209" s="29">
        <f>ROUND(Source!AF105*Source!I105, 2)</f>
        <v>47.35</v>
      </c>
      <c r="I209" s="30"/>
      <c r="J209" s="30">
        <f>IF(Source!BA105&lt;&gt; 0, Source!BA105, 1)</f>
        <v>6.61</v>
      </c>
      <c r="K209" s="29">
        <f>Source!S105</f>
        <v>312.97000000000003</v>
      </c>
      <c r="L209" s="31"/>
      <c r="R209">
        <f>H209</f>
        <v>47.35</v>
      </c>
    </row>
    <row r="210" spans="1:26" ht="14.25" x14ac:dyDescent="0.2">
      <c r="A210" s="44"/>
      <c r="B210" s="45"/>
      <c r="C210" s="45" t="s">
        <v>222</v>
      </c>
      <c r="D210" s="28"/>
      <c r="E210" s="10"/>
      <c r="F210" s="29">
        <f>Source!AM105</f>
        <v>2.5</v>
      </c>
      <c r="G210" s="30" t="str">
        <f>Source!DE105</f>
        <v/>
      </c>
      <c r="H210" s="29">
        <f>ROUND(Source!AD105*Source!I105, 2)</f>
        <v>0.83</v>
      </c>
      <c r="I210" s="30"/>
      <c r="J210" s="30">
        <f>IF(Source!BB105&lt;&gt; 0, Source!BB105, 1)</f>
        <v>6.61</v>
      </c>
      <c r="K210" s="29">
        <f>Source!Q105</f>
        <v>5.45</v>
      </c>
      <c r="L210" s="31"/>
    </row>
    <row r="211" spans="1:26" ht="14.25" x14ac:dyDescent="0.2">
      <c r="A211" s="44"/>
      <c r="B211" s="45"/>
      <c r="C211" s="45" t="s">
        <v>692</v>
      </c>
      <c r="D211" s="28"/>
      <c r="E211" s="10"/>
      <c r="F211" s="29">
        <f>Source!AN105</f>
        <v>1.08</v>
      </c>
      <c r="G211" s="30" t="str">
        <f>Source!DF105</f>
        <v/>
      </c>
      <c r="H211" s="39">
        <f>ROUND(Source!AE105*Source!I105, 2)</f>
        <v>0.36</v>
      </c>
      <c r="I211" s="30"/>
      <c r="J211" s="30">
        <f>IF(Source!BS105&lt;&gt; 0, Source!BS105, 1)</f>
        <v>6.61</v>
      </c>
      <c r="K211" s="39">
        <f>Source!R105</f>
        <v>2.36</v>
      </c>
      <c r="L211" s="31"/>
      <c r="R211">
        <f>H211</f>
        <v>0.36</v>
      </c>
    </row>
    <row r="212" spans="1:26" ht="14.25" x14ac:dyDescent="0.2">
      <c r="A212" s="44"/>
      <c r="B212" s="45"/>
      <c r="C212" s="45" t="s">
        <v>687</v>
      </c>
      <c r="D212" s="28" t="s">
        <v>688</v>
      </c>
      <c r="E212" s="10">
        <f>Source!BZ105</f>
        <v>85</v>
      </c>
      <c r="F212" s="48"/>
      <c r="G212" s="30"/>
      <c r="H212" s="29">
        <f>SUM(S207:S214)</f>
        <v>40.549999999999997</v>
      </c>
      <c r="I212" s="32"/>
      <c r="J212" s="27">
        <f>Source!AT105</f>
        <v>85</v>
      </c>
      <c r="K212" s="29">
        <f>SUM(T207:T214)</f>
        <v>268.02999999999997</v>
      </c>
      <c r="L212" s="31"/>
    </row>
    <row r="213" spans="1:26" ht="14.25" x14ac:dyDescent="0.2">
      <c r="A213" s="44"/>
      <c r="B213" s="45"/>
      <c r="C213" s="45" t="s">
        <v>689</v>
      </c>
      <c r="D213" s="28" t="s">
        <v>688</v>
      </c>
      <c r="E213" s="10">
        <f>Source!CA105</f>
        <v>65</v>
      </c>
      <c r="F213" s="48"/>
      <c r="G213" s="30"/>
      <c r="H213" s="29">
        <f>SUM(U207:U214)</f>
        <v>31.01</v>
      </c>
      <c r="I213" s="32"/>
      <c r="J213" s="27">
        <f>Source!AU105</f>
        <v>65</v>
      </c>
      <c r="K213" s="29">
        <f>SUM(V207:V214)</f>
        <v>204.96</v>
      </c>
      <c r="L213" s="31"/>
    </row>
    <row r="214" spans="1:26" ht="14.25" x14ac:dyDescent="0.2">
      <c r="A214" s="46"/>
      <c r="B214" s="47"/>
      <c r="C214" s="47" t="s">
        <v>690</v>
      </c>
      <c r="D214" s="33" t="s">
        <v>691</v>
      </c>
      <c r="E214" s="34">
        <f>Source!AQ105</f>
        <v>17.89</v>
      </c>
      <c r="F214" s="35"/>
      <c r="G214" s="36" t="str">
        <f>Source!DI105</f>
        <v/>
      </c>
      <c r="H214" s="35"/>
      <c r="I214" s="36"/>
      <c r="J214" s="36"/>
      <c r="K214" s="35"/>
      <c r="L214" s="37">
        <f>Source!U105</f>
        <v>5.9037000000000006</v>
      </c>
    </row>
    <row r="215" spans="1:26" ht="15" x14ac:dyDescent="0.25">
      <c r="G215" s="68">
        <f>H209+H210+H212+H213</f>
        <v>119.74</v>
      </c>
      <c r="H215" s="68"/>
      <c r="J215" s="68">
        <f>K209+K210+K212+K213</f>
        <v>791.41000000000008</v>
      </c>
      <c r="K215" s="68"/>
      <c r="L215" s="38">
        <f>Source!U105</f>
        <v>5.9037000000000006</v>
      </c>
      <c r="O215" s="24">
        <f>G215</f>
        <v>119.74</v>
      </c>
      <c r="P215" s="24">
        <f>J215</f>
        <v>791.41000000000008</v>
      </c>
      <c r="Q215" s="24">
        <f>L215</f>
        <v>5.9037000000000006</v>
      </c>
      <c r="W215">
        <f>IF(Source!BI105&lt;=1,H209+H210+H212+H213, 0)</f>
        <v>119.74</v>
      </c>
      <c r="X215">
        <f>IF(Source!BI105=2,H209+H210+H212+H213, 0)</f>
        <v>0</v>
      </c>
      <c r="Y215">
        <f>IF(Source!BI105=3,H209+H210+H212+H213, 0)</f>
        <v>0</v>
      </c>
      <c r="Z215">
        <f>IF(Source!BI105=4,H209+H210+H212+H213, 0)</f>
        <v>0</v>
      </c>
    </row>
    <row r="216" spans="1:26" ht="42.75" x14ac:dyDescent="0.2">
      <c r="A216" s="44" t="str">
        <f>Source!E106</f>
        <v>18</v>
      </c>
      <c r="B216" s="45" t="str">
        <f>Source!F106</f>
        <v>м08-02-370-02</v>
      </c>
      <c r="C216" s="45" t="str">
        <f>Source!G106</f>
        <v>Демонтаж: Щиток до трех групп, устанавливаемый в нише цоколя (Электрощит на 12 модулей)</v>
      </c>
      <c r="D216" s="28" t="str">
        <f>Source!H106</f>
        <v>ШТ</v>
      </c>
      <c r="E216" s="10">
        <f>Source!I106</f>
        <v>1</v>
      </c>
      <c r="F216" s="29">
        <f>Source!AL106+Source!AM106+Source!AO106</f>
        <v>33.42</v>
      </c>
      <c r="G216" s="30"/>
      <c r="H216" s="29"/>
      <c r="I216" s="30" t="str">
        <f>Source!BO106</f>
        <v/>
      </c>
      <c r="J216" s="30"/>
      <c r="K216" s="29"/>
      <c r="L216" s="31"/>
      <c r="S216">
        <f>ROUND((Source!FX106/100)*((ROUND(Source!AF106*Source!I106, 2)+ROUND(Source!AE106*Source!I106, 2))), 2)</f>
        <v>3.41</v>
      </c>
      <c r="T216">
        <f>Source!X106</f>
        <v>22.54</v>
      </c>
      <c r="U216">
        <f>ROUND((Source!FY106/100)*((ROUND(Source!AF106*Source!I106, 2)+ROUND(Source!AE106*Source!I106, 2))), 2)</f>
        <v>2.33</v>
      </c>
      <c r="V216">
        <f>Source!Y106</f>
        <v>15.42</v>
      </c>
    </row>
    <row r="217" spans="1:26" ht="14.25" x14ac:dyDescent="0.2">
      <c r="A217" s="44"/>
      <c r="B217" s="45"/>
      <c r="C217" s="45" t="s">
        <v>686</v>
      </c>
      <c r="D217" s="28"/>
      <c r="E217" s="10"/>
      <c r="F217" s="29">
        <f>Source!AO106</f>
        <v>9.4499999999999993</v>
      </c>
      <c r="G217" s="30" t="str">
        <f>Source!DG106</f>
        <v>)*0,3</v>
      </c>
      <c r="H217" s="29">
        <f>ROUND(Source!AF106*Source!I106, 2)</f>
        <v>2.84</v>
      </c>
      <c r="I217" s="30"/>
      <c r="J217" s="30">
        <f>IF(Source!BA106&lt;&gt; 0, Source!BA106, 1)</f>
        <v>6.61</v>
      </c>
      <c r="K217" s="29">
        <f>Source!S106</f>
        <v>18.77</v>
      </c>
      <c r="L217" s="31"/>
      <c r="R217">
        <f>H217</f>
        <v>2.84</v>
      </c>
    </row>
    <row r="218" spans="1:26" ht="14.25" x14ac:dyDescent="0.2">
      <c r="A218" s="44"/>
      <c r="B218" s="45"/>
      <c r="C218" s="45" t="s">
        <v>222</v>
      </c>
      <c r="D218" s="28"/>
      <c r="E218" s="10"/>
      <c r="F218" s="29">
        <f>Source!AM106</f>
        <v>17.77</v>
      </c>
      <c r="G218" s="30" t="str">
        <f>Source!DE106</f>
        <v>)*0,3</v>
      </c>
      <c r="H218" s="29">
        <f>ROUND(Source!AD106*Source!I106, 2)</f>
        <v>5.33</v>
      </c>
      <c r="I218" s="30"/>
      <c r="J218" s="30">
        <f>IF(Source!BB106&lt;&gt; 0, Source!BB106, 1)</f>
        <v>6.61</v>
      </c>
      <c r="K218" s="29">
        <f>Source!Q106</f>
        <v>35.229999999999997</v>
      </c>
      <c r="L218" s="31"/>
    </row>
    <row r="219" spans="1:26" ht="14.25" x14ac:dyDescent="0.2">
      <c r="A219" s="44"/>
      <c r="B219" s="45"/>
      <c r="C219" s="45" t="s">
        <v>692</v>
      </c>
      <c r="D219" s="28"/>
      <c r="E219" s="10"/>
      <c r="F219" s="29">
        <f>Source!AN106</f>
        <v>2.5099999999999998</v>
      </c>
      <c r="G219" s="30" t="str">
        <f>Source!DF106</f>
        <v>)*0,3</v>
      </c>
      <c r="H219" s="39">
        <f>ROUND(Source!AE106*Source!I106, 2)</f>
        <v>0.75</v>
      </c>
      <c r="I219" s="30"/>
      <c r="J219" s="30">
        <f>IF(Source!BS106&lt;&gt; 0, Source!BS106, 1)</f>
        <v>6.61</v>
      </c>
      <c r="K219" s="39">
        <f>Source!R106</f>
        <v>4.96</v>
      </c>
      <c r="L219" s="31"/>
      <c r="R219">
        <f>H219</f>
        <v>0.75</v>
      </c>
    </row>
    <row r="220" spans="1:26" ht="14.25" x14ac:dyDescent="0.2">
      <c r="A220" s="44"/>
      <c r="B220" s="45"/>
      <c r="C220" s="45" t="s">
        <v>687</v>
      </c>
      <c r="D220" s="28" t="s">
        <v>688</v>
      </c>
      <c r="E220" s="10">
        <f>Source!BZ106</f>
        <v>95</v>
      </c>
      <c r="F220" s="48"/>
      <c r="G220" s="30"/>
      <c r="H220" s="29">
        <f>SUM(S216:S222)</f>
        <v>3.41</v>
      </c>
      <c r="I220" s="32"/>
      <c r="J220" s="27">
        <f>Source!AT106</f>
        <v>95</v>
      </c>
      <c r="K220" s="29">
        <f>SUM(T216:T222)</f>
        <v>22.54</v>
      </c>
      <c r="L220" s="31"/>
    </row>
    <row r="221" spans="1:26" ht="14.25" x14ac:dyDescent="0.2">
      <c r="A221" s="44"/>
      <c r="B221" s="45"/>
      <c r="C221" s="45" t="s">
        <v>689</v>
      </c>
      <c r="D221" s="28" t="s">
        <v>688</v>
      </c>
      <c r="E221" s="10">
        <f>Source!CA106</f>
        <v>65</v>
      </c>
      <c r="F221" s="48"/>
      <c r="G221" s="30"/>
      <c r="H221" s="29">
        <f>SUM(U216:U222)</f>
        <v>2.33</v>
      </c>
      <c r="I221" s="32"/>
      <c r="J221" s="27">
        <f>Source!AU106</f>
        <v>65</v>
      </c>
      <c r="K221" s="29">
        <f>SUM(V216:V222)</f>
        <v>15.42</v>
      </c>
      <c r="L221" s="31"/>
    </row>
    <row r="222" spans="1:26" ht="14.25" x14ac:dyDescent="0.2">
      <c r="A222" s="46"/>
      <c r="B222" s="47"/>
      <c r="C222" s="47" t="s">
        <v>690</v>
      </c>
      <c r="D222" s="33" t="s">
        <v>691</v>
      </c>
      <c r="E222" s="34">
        <f>Source!AQ106</f>
        <v>0.9</v>
      </c>
      <c r="F222" s="35"/>
      <c r="G222" s="36" t="str">
        <f>Source!DI106</f>
        <v>)*0,3</v>
      </c>
      <c r="H222" s="35"/>
      <c r="I222" s="36"/>
      <c r="J222" s="36"/>
      <c r="K222" s="35"/>
      <c r="L222" s="37">
        <f>Source!U106</f>
        <v>0.27</v>
      </c>
    </row>
    <row r="223" spans="1:26" ht="15" x14ac:dyDescent="0.25">
      <c r="G223" s="68">
        <f>H217+H218+H220+H221</f>
        <v>13.91</v>
      </c>
      <c r="H223" s="68"/>
      <c r="J223" s="68">
        <f>K217+K218+K220+K221</f>
        <v>91.96</v>
      </c>
      <c r="K223" s="68"/>
      <c r="L223" s="38">
        <f>Source!U106</f>
        <v>0.27</v>
      </c>
      <c r="O223" s="24">
        <f>G223</f>
        <v>13.91</v>
      </c>
      <c r="P223" s="24">
        <f>J223</f>
        <v>91.96</v>
      </c>
      <c r="Q223" s="24">
        <f>L223</f>
        <v>0.27</v>
      </c>
      <c r="W223">
        <f>IF(Source!BI106&lt;=1,H217+H218+H220+H221, 0)</f>
        <v>0</v>
      </c>
      <c r="X223">
        <f>IF(Source!BI106=2,H217+H218+H220+H221, 0)</f>
        <v>13.91</v>
      </c>
      <c r="Y223">
        <f>IF(Source!BI106=3,H217+H218+H220+H221, 0)</f>
        <v>0</v>
      </c>
      <c r="Z223">
        <f>IF(Source!BI106=4,H217+H218+H220+H221, 0)</f>
        <v>0</v>
      </c>
    </row>
    <row r="224" spans="1:26" ht="14.25" x14ac:dyDescent="0.2">
      <c r="A224" s="44" t="str">
        <f>Source!E107</f>
        <v>19</v>
      </c>
      <c r="B224" s="45" t="str">
        <f>Source!F107</f>
        <v>67-4-1</v>
      </c>
      <c r="C224" s="45" t="str">
        <f>Source!G107</f>
        <v>Демонтаж выключателей, розеток</v>
      </c>
      <c r="D224" s="28" t="str">
        <f>Source!H107</f>
        <v>100 ШТ</v>
      </c>
      <c r="E224" s="10">
        <f>Source!I107</f>
        <v>0.12</v>
      </c>
      <c r="F224" s="29">
        <f>Source!AL107+Source!AM107+Source!AO107</f>
        <v>45.55</v>
      </c>
      <c r="G224" s="30"/>
      <c r="H224" s="29"/>
      <c r="I224" s="30" t="str">
        <f>Source!BO107</f>
        <v/>
      </c>
      <c r="J224" s="30"/>
      <c r="K224" s="29"/>
      <c r="L224" s="31"/>
      <c r="S224">
        <f>ROUND((Source!FX107/100)*((ROUND(Source!AF107*Source!I107, 2)+ROUND(Source!AE107*Source!I107, 2))), 2)</f>
        <v>4.6500000000000004</v>
      </c>
      <c r="T224">
        <f>Source!X107</f>
        <v>30.71</v>
      </c>
      <c r="U224">
        <f>ROUND((Source!FY107/100)*((ROUND(Source!AF107*Source!I107, 2)+ROUND(Source!AE107*Source!I107, 2))), 2)</f>
        <v>3.56</v>
      </c>
      <c r="V224">
        <f>Source!Y107</f>
        <v>23.48</v>
      </c>
    </row>
    <row r="225" spans="1:26" x14ac:dyDescent="0.2">
      <c r="C225" s="23" t="str">
        <f>"Объем: "&amp;Source!I107&amp;"=12/"&amp;"100"</f>
        <v>Объем: 0,12=12/100</v>
      </c>
    </row>
    <row r="226" spans="1:26" ht="14.25" x14ac:dyDescent="0.2">
      <c r="A226" s="44"/>
      <c r="B226" s="45"/>
      <c r="C226" s="45" t="s">
        <v>686</v>
      </c>
      <c r="D226" s="28"/>
      <c r="E226" s="10"/>
      <c r="F226" s="29">
        <f>Source!AO107</f>
        <v>45.55</v>
      </c>
      <c r="G226" s="30" t="str">
        <f>Source!DG107</f>
        <v/>
      </c>
      <c r="H226" s="29">
        <f>ROUND(Source!AF107*Source!I107, 2)</f>
        <v>5.47</v>
      </c>
      <c r="I226" s="30"/>
      <c r="J226" s="30">
        <f>IF(Source!BA107&lt;&gt; 0, Source!BA107, 1)</f>
        <v>6.61</v>
      </c>
      <c r="K226" s="29">
        <f>Source!S107</f>
        <v>36.130000000000003</v>
      </c>
      <c r="L226" s="31"/>
      <c r="R226">
        <f>H226</f>
        <v>5.47</v>
      </c>
    </row>
    <row r="227" spans="1:26" ht="14.25" x14ac:dyDescent="0.2">
      <c r="A227" s="44"/>
      <c r="B227" s="45"/>
      <c r="C227" s="45" t="s">
        <v>687</v>
      </c>
      <c r="D227" s="28" t="s">
        <v>688</v>
      </c>
      <c r="E227" s="10">
        <f>Source!BZ107</f>
        <v>85</v>
      </c>
      <c r="F227" s="48"/>
      <c r="G227" s="30"/>
      <c r="H227" s="29">
        <f>SUM(S224:S229)</f>
        <v>4.6500000000000004</v>
      </c>
      <c r="I227" s="32"/>
      <c r="J227" s="27">
        <f>Source!AT107</f>
        <v>85</v>
      </c>
      <c r="K227" s="29">
        <f>SUM(T224:T229)</f>
        <v>30.71</v>
      </c>
      <c r="L227" s="31"/>
    </row>
    <row r="228" spans="1:26" ht="14.25" x14ac:dyDescent="0.2">
      <c r="A228" s="44"/>
      <c r="B228" s="45"/>
      <c r="C228" s="45" t="s">
        <v>689</v>
      </c>
      <c r="D228" s="28" t="s">
        <v>688</v>
      </c>
      <c r="E228" s="10">
        <f>Source!CA107</f>
        <v>65</v>
      </c>
      <c r="F228" s="48"/>
      <c r="G228" s="30"/>
      <c r="H228" s="29">
        <f>SUM(U224:U229)</f>
        <v>3.56</v>
      </c>
      <c r="I228" s="32"/>
      <c r="J228" s="27">
        <f>Source!AU107</f>
        <v>65</v>
      </c>
      <c r="K228" s="29">
        <f>SUM(V224:V229)</f>
        <v>23.48</v>
      </c>
      <c r="L228" s="31"/>
    </row>
    <row r="229" spans="1:26" ht="14.25" x14ac:dyDescent="0.2">
      <c r="A229" s="46"/>
      <c r="B229" s="47"/>
      <c r="C229" s="47" t="s">
        <v>690</v>
      </c>
      <c r="D229" s="33" t="s">
        <v>691</v>
      </c>
      <c r="E229" s="34">
        <f>Source!AQ107</f>
        <v>5.84</v>
      </c>
      <c r="F229" s="35"/>
      <c r="G229" s="36" t="str">
        <f>Source!DI107</f>
        <v/>
      </c>
      <c r="H229" s="35"/>
      <c r="I229" s="36"/>
      <c r="J229" s="36"/>
      <c r="K229" s="35"/>
      <c r="L229" s="37">
        <f>Source!U107</f>
        <v>0.70079999999999998</v>
      </c>
    </row>
    <row r="230" spans="1:26" ht="15" x14ac:dyDescent="0.25">
      <c r="G230" s="68">
        <f>H226+H227+H228</f>
        <v>13.680000000000001</v>
      </c>
      <c r="H230" s="68"/>
      <c r="J230" s="68">
        <f>K226+K227+K228</f>
        <v>90.320000000000007</v>
      </c>
      <c r="K230" s="68"/>
      <c r="L230" s="38">
        <f>Source!U107</f>
        <v>0.70079999999999998</v>
      </c>
      <c r="O230" s="24">
        <f>G230</f>
        <v>13.680000000000001</v>
      </c>
      <c r="P230" s="24">
        <f>J230</f>
        <v>90.320000000000007</v>
      </c>
      <c r="Q230" s="24">
        <f>L230</f>
        <v>0.70079999999999998</v>
      </c>
      <c r="W230">
        <f>IF(Source!BI107&lt;=1,H226+H227+H228, 0)</f>
        <v>13.680000000000001</v>
      </c>
      <c r="X230">
        <f>IF(Source!BI107=2,H226+H227+H228, 0)</f>
        <v>0</v>
      </c>
      <c r="Y230">
        <f>IF(Source!BI107=3,H226+H227+H228, 0)</f>
        <v>0</v>
      </c>
      <c r="Z230">
        <f>IF(Source!BI107=4,H226+H227+H228, 0)</f>
        <v>0</v>
      </c>
    </row>
    <row r="231" spans="1:26" ht="14.25" x14ac:dyDescent="0.2">
      <c r="A231" s="44" t="str">
        <f>Source!E108</f>
        <v>20</v>
      </c>
      <c r="B231" s="45" t="str">
        <f>Source!F108</f>
        <v>м08-03-593-19</v>
      </c>
      <c r="C231" s="45" t="str">
        <f>Source!G108</f>
        <v>Светильник в подвесных потолках</v>
      </c>
      <c r="D231" s="28" t="str">
        <f>Source!H108</f>
        <v>100 ШТ</v>
      </c>
      <c r="E231" s="10">
        <f>Source!I108</f>
        <v>0.39</v>
      </c>
      <c r="F231" s="29">
        <f>Source!AL108+Source!AM108+Source!AO108</f>
        <v>1092.72</v>
      </c>
      <c r="G231" s="30"/>
      <c r="H231" s="29"/>
      <c r="I231" s="30" t="str">
        <f>Source!BO108</f>
        <v/>
      </c>
      <c r="J231" s="30"/>
      <c r="K231" s="29"/>
      <c r="L231" s="31"/>
      <c r="S231">
        <f>ROUND((Source!FX108/100)*((ROUND(Source!AF108*Source!I108, 2)+ROUND(Source!AE108*Source!I108, 2))), 2)</f>
        <v>348.82</v>
      </c>
      <c r="T231">
        <f>Source!X108</f>
        <v>2305.66</v>
      </c>
      <c r="U231">
        <f>ROUND((Source!FY108/100)*((ROUND(Source!AF108*Source!I108, 2)+ROUND(Source!AE108*Source!I108, 2))), 2)</f>
        <v>238.67</v>
      </c>
      <c r="V231">
        <f>Source!Y108</f>
        <v>1577.56</v>
      </c>
    </row>
    <row r="232" spans="1:26" x14ac:dyDescent="0.2">
      <c r="C232" s="23" t="str">
        <f>"Объем: "&amp;Source!I108&amp;"=39/"&amp;"100"</f>
        <v>Объем: 0,39=39/100</v>
      </c>
    </row>
    <row r="233" spans="1:26" ht="14.25" x14ac:dyDescent="0.2">
      <c r="A233" s="44"/>
      <c r="B233" s="45"/>
      <c r="C233" s="45" t="s">
        <v>686</v>
      </c>
      <c r="D233" s="28"/>
      <c r="E233" s="10"/>
      <c r="F233" s="29">
        <f>Source!AO108</f>
        <v>936.45</v>
      </c>
      <c r="G233" s="30" t="str">
        <f>Source!DG108</f>
        <v/>
      </c>
      <c r="H233" s="29">
        <f>ROUND(Source!AF108*Source!I108, 2)</f>
        <v>365.22</v>
      </c>
      <c r="I233" s="30"/>
      <c r="J233" s="30">
        <f>IF(Source!BA108&lt;&gt; 0, Source!BA108, 1)</f>
        <v>6.61</v>
      </c>
      <c r="K233" s="29">
        <f>Source!S108</f>
        <v>2414.0700000000002</v>
      </c>
      <c r="L233" s="31"/>
      <c r="R233">
        <f>H233</f>
        <v>365.22</v>
      </c>
    </row>
    <row r="234" spans="1:26" ht="14.25" x14ac:dyDescent="0.2">
      <c r="A234" s="44"/>
      <c r="B234" s="45"/>
      <c r="C234" s="45" t="s">
        <v>222</v>
      </c>
      <c r="D234" s="28"/>
      <c r="E234" s="10"/>
      <c r="F234" s="29">
        <f>Source!AM108</f>
        <v>35.54</v>
      </c>
      <c r="G234" s="30" t="str">
        <f>Source!DE108</f>
        <v/>
      </c>
      <c r="H234" s="29">
        <f>ROUND(Source!AD108*Source!I108, 2)</f>
        <v>13.86</v>
      </c>
      <c r="I234" s="30"/>
      <c r="J234" s="30">
        <f>IF(Source!BB108&lt;&gt; 0, Source!BB108, 1)</f>
        <v>6.61</v>
      </c>
      <c r="K234" s="29">
        <f>Source!Q108</f>
        <v>91.62</v>
      </c>
      <c r="L234" s="31"/>
    </row>
    <row r="235" spans="1:26" ht="14.25" x14ac:dyDescent="0.2">
      <c r="A235" s="44"/>
      <c r="B235" s="45"/>
      <c r="C235" s="45" t="s">
        <v>692</v>
      </c>
      <c r="D235" s="28"/>
      <c r="E235" s="10"/>
      <c r="F235" s="29">
        <f>Source!AN108</f>
        <v>5.0199999999999996</v>
      </c>
      <c r="G235" s="30" t="str">
        <f>Source!DF108</f>
        <v/>
      </c>
      <c r="H235" s="39">
        <f>ROUND(Source!AE108*Source!I108, 2)</f>
        <v>1.96</v>
      </c>
      <c r="I235" s="30"/>
      <c r="J235" s="30">
        <f>IF(Source!BS108&lt;&gt; 0, Source!BS108, 1)</f>
        <v>6.61</v>
      </c>
      <c r="K235" s="39">
        <f>Source!R108</f>
        <v>12.94</v>
      </c>
      <c r="L235" s="31"/>
      <c r="R235">
        <f>H235</f>
        <v>1.96</v>
      </c>
    </row>
    <row r="236" spans="1:26" ht="14.25" x14ac:dyDescent="0.2">
      <c r="A236" s="44"/>
      <c r="B236" s="45"/>
      <c r="C236" s="45" t="s">
        <v>693</v>
      </c>
      <c r="D236" s="28"/>
      <c r="E236" s="10"/>
      <c r="F236" s="29">
        <f>Source!AL108</f>
        <v>120.73</v>
      </c>
      <c r="G236" s="30" t="str">
        <f>Source!DD108</f>
        <v/>
      </c>
      <c r="H236" s="29">
        <f>ROUND(Source!AC108*Source!I108, 2)</f>
        <v>47.08</v>
      </c>
      <c r="I236" s="30"/>
      <c r="J236" s="30">
        <f>IF(Source!BC108&lt;&gt; 0, Source!BC108, 1)</f>
        <v>6.61</v>
      </c>
      <c r="K236" s="29">
        <f>Source!P108</f>
        <v>311.23</v>
      </c>
      <c r="L236" s="31"/>
    </row>
    <row r="237" spans="1:26" ht="14.25" x14ac:dyDescent="0.2">
      <c r="A237" s="44"/>
      <c r="B237" s="45"/>
      <c r="C237" s="45" t="s">
        <v>687</v>
      </c>
      <c r="D237" s="28" t="s">
        <v>688</v>
      </c>
      <c r="E237" s="10">
        <f>Source!BZ108</f>
        <v>95</v>
      </c>
      <c r="F237" s="48"/>
      <c r="G237" s="30"/>
      <c r="H237" s="29">
        <f>SUM(S231:S240)</f>
        <v>348.82</v>
      </c>
      <c r="I237" s="32"/>
      <c r="J237" s="27">
        <f>Source!AT108</f>
        <v>95</v>
      </c>
      <c r="K237" s="29">
        <f>SUM(T231:T240)</f>
        <v>2305.66</v>
      </c>
      <c r="L237" s="31"/>
    </row>
    <row r="238" spans="1:26" ht="14.25" x14ac:dyDescent="0.2">
      <c r="A238" s="44"/>
      <c r="B238" s="45"/>
      <c r="C238" s="45" t="s">
        <v>689</v>
      </c>
      <c r="D238" s="28" t="s">
        <v>688</v>
      </c>
      <c r="E238" s="10">
        <f>Source!CA108</f>
        <v>65</v>
      </c>
      <c r="F238" s="48"/>
      <c r="G238" s="30"/>
      <c r="H238" s="29">
        <f>SUM(U231:U240)</f>
        <v>238.67</v>
      </c>
      <c r="I238" s="32"/>
      <c r="J238" s="27">
        <f>Source!AU108</f>
        <v>65</v>
      </c>
      <c r="K238" s="29">
        <f>SUM(V231:V240)</f>
        <v>1577.56</v>
      </c>
      <c r="L238" s="31"/>
    </row>
    <row r="239" spans="1:26" ht="14.25" x14ac:dyDescent="0.2">
      <c r="A239" s="44"/>
      <c r="B239" s="45"/>
      <c r="C239" s="45" t="s">
        <v>690</v>
      </c>
      <c r="D239" s="28" t="s">
        <v>691</v>
      </c>
      <c r="E239" s="10">
        <f>Source!AQ108</f>
        <v>94.4</v>
      </c>
      <c r="F239" s="29"/>
      <c r="G239" s="30" t="str">
        <f>Source!DI108</f>
        <v/>
      </c>
      <c r="H239" s="29"/>
      <c r="I239" s="30"/>
      <c r="J239" s="30"/>
      <c r="K239" s="29"/>
      <c r="L239" s="40">
        <f>Source!U108</f>
        <v>36.816000000000003</v>
      </c>
    </row>
    <row r="240" spans="1:26" ht="57" x14ac:dyDescent="0.2">
      <c r="A240" s="46" t="str">
        <f>Source!E109</f>
        <v>20,1</v>
      </c>
      <c r="B240" s="47" t="str">
        <f>Source!F109</f>
        <v>20.3.03.04-0275</v>
      </c>
      <c r="C240" s="47" t="str">
        <f>Source!G109</f>
        <v>Светильники  встраиваемые со светодиодными лампами 595х595х40мм 36Вт,3000 Лм,IP40,6500К прим.</v>
      </c>
      <c r="D240" s="33" t="str">
        <f>Source!H109</f>
        <v>шт.</v>
      </c>
      <c r="E240" s="34">
        <f>Source!I109</f>
        <v>39</v>
      </c>
      <c r="F240" s="35">
        <f>Source!AL109+Source!AM109+Source!AO109</f>
        <v>377.02</v>
      </c>
      <c r="G240" s="42" t="s">
        <v>3</v>
      </c>
      <c r="H240" s="35">
        <f>ROUND(Source!AC109*Source!I109, 2)+ROUND(Source!AD109*Source!I109, 2)+ROUND(Source!AF109*Source!I109, 2)</f>
        <v>14703.78</v>
      </c>
      <c r="I240" s="36"/>
      <c r="J240" s="36">
        <f>IF(Source!BC109&lt;&gt; 0, Source!BC109, 1)</f>
        <v>6.61</v>
      </c>
      <c r="K240" s="35">
        <f>Source!O109</f>
        <v>97191.99</v>
      </c>
      <c r="L240" s="43"/>
      <c r="S240">
        <f>ROUND((Source!FX109/100)*((ROUND(Source!AF109*Source!I109, 2)+ROUND(Source!AE109*Source!I109, 2))), 2)</f>
        <v>0</v>
      </c>
      <c r="T240">
        <f>Source!X109</f>
        <v>0</v>
      </c>
      <c r="U240">
        <f>ROUND((Source!FY109/100)*((ROUND(Source!AF109*Source!I109, 2)+ROUND(Source!AE109*Source!I109, 2))), 2)</f>
        <v>0</v>
      </c>
      <c r="V240">
        <f>Source!Y109</f>
        <v>0</v>
      </c>
      <c r="W240">
        <f>IF(Source!BI109&lt;=1,H240, 0)</f>
        <v>0</v>
      </c>
      <c r="X240">
        <f>IF(Source!BI109=2,H240, 0)</f>
        <v>14703.78</v>
      </c>
      <c r="Y240">
        <f>IF(Source!BI109=3,H240, 0)</f>
        <v>0</v>
      </c>
      <c r="Z240">
        <f>IF(Source!BI109=4,H240, 0)</f>
        <v>0</v>
      </c>
    </row>
    <row r="241" spans="1:26" ht="15" x14ac:dyDescent="0.25">
      <c r="G241" s="68">
        <f>H233+H234+H236+H237+H238+SUM(H240:H240)</f>
        <v>15717.43</v>
      </c>
      <c r="H241" s="68"/>
      <c r="J241" s="68">
        <f>K233+K234+K236+K237+K238+SUM(K240:K240)</f>
        <v>103892.13</v>
      </c>
      <c r="K241" s="68"/>
      <c r="L241" s="38">
        <f>Source!U108</f>
        <v>36.816000000000003</v>
      </c>
      <c r="O241" s="24">
        <f>G241</f>
        <v>15717.43</v>
      </c>
      <c r="P241" s="24">
        <f>J241</f>
        <v>103892.13</v>
      </c>
      <c r="Q241" s="24">
        <f>L241</f>
        <v>36.816000000000003</v>
      </c>
      <c r="W241">
        <f>IF(Source!BI108&lt;=1,H233+H234+H236+H237+H238, 0)</f>
        <v>0</v>
      </c>
      <c r="X241">
        <f>IF(Source!BI108=2,H233+H234+H236+H237+H238, 0)</f>
        <v>1013.65</v>
      </c>
      <c r="Y241">
        <f>IF(Source!BI108=3,H233+H234+H236+H237+H238, 0)</f>
        <v>0</v>
      </c>
      <c r="Z241">
        <f>IF(Source!BI108=4,H233+H234+H236+H237+H238, 0)</f>
        <v>0</v>
      </c>
    </row>
    <row r="242" spans="1:26" ht="28.5" x14ac:dyDescent="0.2">
      <c r="A242" s="44" t="str">
        <f>Source!E110</f>
        <v>21</v>
      </c>
      <c r="B242" s="45" t="str">
        <f>Source!F110</f>
        <v>м08-10-010-01</v>
      </c>
      <c r="C242" s="45" t="str">
        <f>Source!G110</f>
        <v>Прокладка труб гофрированных ПВХ для защиты проводов и кабелей</v>
      </c>
      <c r="D242" s="28" t="str">
        <f>Source!H110</f>
        <v>100 м</v>
      </c>
      <c r="E242" s="10">
        <f>Source!I110</f>
        <v>0.57999999999999996</v>
      </c>
      <c r="F242" s="29">
        <f>Source!AL110+Source!AM110+Source!AO110</f>
        <v>156.32999999999998</v>
      </c>
      <c r="G242" s="30"/>
      <c r="H242" s="29"/>
      <c r="I242" s="30" t="str">
        <f>Source!BO110</f>
        <v/>
      </c>
      <c r="J242" s="30"/>
      <c r="K242" s="29"/>
      <c r="L242" s="31"/>
      <c r="S242">
        <f>ROUND((Source!FX110/100)*((ROUND(Source!AF110*Source!I110, 2)+ROUND(Source!AE110*Source!I110, 2))), 2)</f>
        <v>76.88</v>
      </c>
      <c r="T242">
        <f>Source!X110</f>
        <v>508.22</v>
      </c>
      <c r="U242">
        <f>ROUND((Source!FY110/100)*((ROUND(Source!AF110*Source!I110, 2)+ROUND(Source!AE110*Source!I110, 2))), 2)</f>
        <v>52.6</v>
      </c>
      <c r="V242">
        <f>Source!Y110</f>
        <v>347.73</v>
      </c>
    </row>
    <row r="243" spans="1:26" x14ac:dyDescent="0.2">
      <c r="C243" s="23" t="str">
        <f>"Объем: "&amp;Source!I110&amp;"=58/"&amp;"100"</f>
        <v>Объем: 0,58=58/100</v>
      </c>
    </row>
    <row r="244" spans="1:26" ht="14.25" x14ac:dyDescent="0.2">
      <c r="A244" s="44"/>
      <c r="B244" s="45"/>
      <c r="C244" s="45" t="s">
        <v>686</v>
      </c>
      <c r="D244" s="28"/>
      <c r="E244" s="10"/>
      <c r="F244" s="29">
        <f>Source!AO110</f>
        <v>139.54</v>
      </c>
      <c r="G244" s="30" t="str">
        <f>Source!DG110</f>
        <v/>
      </c>
      <c r="H244" s="29">
        <f>ROUND(Source!AF110*Source!I110, 2)</f>
        <v>80.930000000000007</v>
      </c>
      <c r="I244" s="30"/>
      <c r="J244" s="30">
        <f>IF(Source!BA110&lt;&gt; 0, Source!BA110, 1)</f>
        <v>6.61</v>
      </c>
      <c r="K244" s="29">
        <f>Source!S110</f>
        <v>534.97</v>
      </c>
      <c r="L244" s="31"/>
      <c r="R244">
        <f>H244</f>
        <v>80.930000000000007</v>
      </c>
    </row>
    <row r="245" spans="1:26" ht="14.25" x14ac:dyDescent="0.2">
      <c r="A245" s="44"/>
      <c r="B245" s="45"/>
      <c r="C245" s="45" t="s">
        <v>693</v>
      </c>
      <c r="D245" s="28"/>
      <c r="E245" s="10"/>
      <c r="F245" s="29">
        <f>Source!AL110</f>
        <v>16.79</v>
      </c>
      <c r="G245" s="30" t="str">
        <f>Source!DD110</f>
        <v/>
      </c>
      <c r="H245" s="29">
        <f>ROUND(Source!AC110*Source!I110, 2)</f>
        <v>9.74</v>
      </c>
      <c r="I245" s="30"/>
      <c r="J245" s="30">
        <f>IF(Source!BC110&lt;&gt; 0, Source!BC110, 1)</f>
        <v>6.61</v>
      </c>
      <c r="K245" s="29">
        <f>Source!P110</f>
        <v>64.37</v>
      </c>
      <c r="L245" s="31"/>
    </row>
    <row r="246" spans="1:26" ht="14.25" x14ac:dyDescent="0.2">
      <c r="A246" s="44"/>
      <c r="B246" s="45"/>
      <c r="C246" s="45" t="s">
        <v>687</v>
      </c>
      <c r="D246" s="28" t="s">
        <v>688</v>
      </c>
      <c r="E246" s="10">
        <f>Source!BZ110</f>
        <v>95</v>
      </c>
      <c r="F246" s="48"/>
      <c r="G246" s="30"/>
      <c r="H246" s="29">
        <f>SUM(S242:S249)</f>
        <v>76.88</v>
      </c>
      <c r="I246" s="32"/>
      <c r="J246" s="27">
        <f>Source!AT110</f>
        <v>95</v>
      </c>
      <c r="K246" s="29">
        <f>SUM(T242:T249)</f>
        <v>508.22</v>
      </c>
      <c r="L246" s="31"/>
    </row>
    <row r="247" spans="1:26" ht="14.25" x14ac:dyDescent="0.2">
      <c r="A247" s="44"/>
      <c r="B247" s="45"/>
      <c r="C247" s="45" t="s">
        <v>689</v>
      </c>
      <c r="D247" s="28" t="s">
        <v>688</v>
      </c>
      <c r="E247" s="10">
        <f>Source!CA110</f>
        <v>65</v>
      </c>
      <c r="F247" s="48"/>
      <c r="G247" s="30"/>
      <c r="H247" s="29">
        <f>SUM(U242:U249)</f>
        <v>52.6</v>
      </c>
      <c r="I247" s="32"/>
      <c r="J247" s="27">
        <f>Source!AU110</f>
        <v>65</v>
      </c>
      <c r="K247" s="29">
        <f>SUM(V242:V249)</f>
        <v>347.73</v>
      </c>
      <c r="L247" s="31"/>
    </row>
    <row r="248" spans="1:26" ht="14.25" x14ac:dyDescent="0.2">
      <c r="A248" s="44"/>
      <c r="B248" s="45"/>
      <c r="C248" s="45" t="s">
        <v>690</v>
      </c>
      <c r="D248" s="28" t="s">
        <v>691</v>
      </c>
      <c r="E248" s="10">
        <f>Source!AQ110</f>
        <v>15.2</v>
      </c>
      <c r="F248" s="29"/>
      <c r="G248" s="30" t="str">
        <f>Source!DI110</f>
        <v/>
      </c>
      <c r="H248" s="29"/>
      <c r="I248" s="30"/>
      <c r="J248" s="30"/>
      <c r="K248" s="29"/>
      <c r="L248" s="40">
        <f>Source!U110</f>
        <v>8.8159999999999989</v>
      </c>
    </row>
    <row r="249" spans="1:26" ht="42.75" x14ac:dyDescent="0.2">
      <c r="A249" s="46" t="str">
        <f>Source!E111</f>
        <v>21,1</v>
      </c>
      <c r="B249" s="47" t="str">
        <f>Source!F111</f>
        <v>24.3.01.02-0022</v>
      </c>
      <c r="C249" s="47" t="str">
        <f>Source!G111</f>
        <v>Трубы гибкие гофрированные легкие из самозатухающего ПВХ (IP55) серии FL, с зондом, диаметром 20 мм</v>
      </c>
      <c r="D249" s="33" t="str">
        <f>Source!H111</f>
        <v>10 м</v>
      </c>
      <c r="E249" s="34">
        <f>Source!I111</f>
        <v>5.8</v>
      </c>
      <c r="F249" s="35">
        <f>Source!AL111+Source!AM111+Source!AO111</f>
        <v>21.2</v>
      </c>
      <c r="G249" s="42" t="s">
        <v>3</v>
      </c>
      <c r="H249" s="35">
        <f>ROUND(Source!AC111*Source!I111, 2)+ROUND(Source!AD111*Source!I111, 2)+ROUND(Source!AF111*Source!I111, 2)</f>
        <v>122.96</v>
      </c>
      <c r="I249" s="36"/>
      <c r="J249" s="36">
        <f>IF(Source!BC111&lt;&gt; 0, Source!BC111, 1)</f>
        <v>6.61</v>
      </c>
      <c r="K249" s="35">
        <f>Source!O111</f>
        <v>812.77</v>
      </c>
      <c r="L249" s="43"/>
      <c r="S249">
        <f>ROUND((Source!FX111/100)*((ROUND(Source!AF111*Source!I111, 2)+ROUND(Source!AE111*Source!I111, 2))), 2)</f>
        <v>0</v>
      </c>
      <c r="T249">
        <f>Source!X111</f>
        <v>0</v>
      </c>
      <c r="U249">
        <f>ROUND((Source!FY111/100)*((ROUND(Source!AF111*Source!I111, 2)+ROUND(Source!AE111*Source!I111, 2))), 2)</f>
        <v>0</v>
      </c>
      <c r="V249">
        <f>Source!Y111</f>
        <v>0</v>
      </c>
      <c r="W249">
        <f>IF(Source!BI111&lt;=1,H249, 0)</f>
        <v>0</v>
      </c>
      <c r="X249">
        <f>IF(Source!BI111=2,H249, 0)</f>
        <v>122.96</v>
      </c>
      <c r="Y249">
        <f>IF(Source!BI111=3,H249, 0)</f>
        <v>0</v>
      </c>
      <c r="Z249">
        <f>IF(Source!BI111=4,H249, 0)</f>
        <v>0</v>
      </c>
    </row>
    <row r="250" spans="1:26" ht="15" x14ac:dyDescent="0.25">
      <c r="G250" s="68">
        <f>H244+H245+H246+H247+SUM(H249:H249)</f>
        <v>343.11</v>
      </c>
      <c r="H250" s="68"/>
      <c r="J250" s="68">
        <f>K244+K245+K246+K247+SUM(K249:K249)</f>
        <v>2268.06</v>
      </c>
      <c r="K250" s="68"/>
      <c r="L250" s="38">
        <f>Source!U110</f>
        <v>8.8159999999999989</v>
      </c>
      <c r="O250" s="24">
        <f>G250</f>
        <v>343.11</v>
      </c>
      <c r="P250" s="24">
        <f>J250</f>
        <v>2268.06</v>
      </c>
      <c r="Q250" s="24">
        <f>L250</f>
        <v>8.8159999999999989</v>
      </c>
      <c r="W250">
        <f>IF(Source!BI110&lt;=1,H244+H245+H246+H247, 0)</f>
        <v>0</v>
      </c>
      <c r="X250">
        <f>IF(Source!BI110=2,H244+H245+H246+H247, 0)</f>
        <v>220.15</v>
      </c>
      <c r="Y250">
        <f>IF(Source!BI110=3,H244+H245+H246+H247, 0)</f>
        <v>0</v>
      </c>
      <c r="Z250">
        <f>IF(Source!BI110=4,H244+H245+H246+H247, 0)</f>
        <v>0</v>
      </c>
    </row>
    <row r="251" spans="1:26" ht="71.25" x14ac:dyDescent="0.2">
      <c r="A251" s="44" t="str">
        <f>Source!E112</f>
        <v>22</v>
      </c>
      <c r="B251" s="45" t="str">
        <f>Source!F112</f>
        <v>м08-02-412-02</v>
      </c>
      <c r="C251" s="45" t="str">
        <f>Source!G112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251" s="28" t="str">
        <f>Source!H112</f>
        <v>100 м</v>
      </c>
      <c r="E251" s="10">
        <f>Source!I112</f>
        <v>0.72</v>
      </c>
      <c r="F251" s="29">
        <f>Source!AL112+Source!AM112+Source!AO112</f>
        <v>68.7</v>
      </c>
      <c r="G251" s="30"/>
      <c r="H251" s="29"/>
      <c r="I251" s="30" t="str">
        <f>Source!BO112</f>
        <v/>
      </c>
      <c r="J251" s="30"/>
      <c r="K251" s="29"/>
      <c r="L251" s="31"/>
      <c r="S251">
        <f>ROUND((Source!FX112/100)*((ROUND(Source!AF112*Source!I112, 2)+ROUND(Source!AE112*Source!I112, 2))), 2)</f>
        <v>35</v>
      </c>
      <c r="T251">
        <f>Source!X112</f>
        <v>231.35</v>
      </c>
      <c r="U251">
        <f>ROUND((Source!FY112/100)*((ROUND(Source!AF112*Source!I112, 2)+ROUND(Source!AE112*Source!I112, 2))), 2)</f>
        <v>23.95</v>
      </c>
      <c r="V251">
        <f>Source!Y112</f>
        <v>158.29</v>
      </c>
    </row>
    <row r="252" spans="1:26" x14ac:dyDescent="0.2">
      <c r="C252" s="23" t="str">
        <f>"Объем: "&amp;Source!I112&amp;"=72/"&amp;"100"</f>
        <v>Объем: 0,72=72/100</v>
      </c>
    </row>
    <row r="253" spans="1:26" ht="14.25" x14ac:dyDescent="0.2">
      <c r="A253" s="44"/>
      <c r="B253" s="45"/>
      <c r="C253" s="45" t="s">
        <v>686</v>
      </c>
      <c r="D253" s="28"/>
      <c r="E253" s="10"/>
      <c r="F253" s="29">
        <f>Source!AO112</f>
        <v>50.67</v>
      </c>
      <c r="G253" s="30" t="str">
        <f>Source!DG112</f>
        <v/>
      </c>
      <c r="H253" s="29">
        <f>ROUND(Source!AF112*Source!I112, 2)</f>
        <v>36.479999999999997</v>
      </c>
      <c r="I253" s="30"/>
      <c r="J253" s="30">
        <f>IF(Source!BA112&lt;&gt; 0, Source!BA112, 1)</f>
        <v>6.61</v>
      </c>
      <c r="K253" s="29">
        <f>Source!S112</f>
        <v>241.15</v>
      </c>
      <c r="L253" s="31"/>
      <c r="R253">
        <f>H253</f>
        <v>36.479999999999997</v>
      </c>
    </row>
    <row r="254" spans="1:26" ht="14.25" x14ac:dyDescent="0.2">
      <c r="A254" s="44"/>
      <c r="B254" s="45"/>
      <c r="C254" s="45" t="s">
        <v>222</v>
      </c>
      <c r="D254" s="28"/>
      <c r="E254" s="10"/>
      <c r="F254" s="29">
        <f>Source!AM112</f>
        <v>3.55</v>
      </c>
      <c r="G254" s="30" t="str">
        <f>Source!DE112</f>
        <v/>
      </c>
      <c r="H254" s="29">
        <f>ROUND(Source!AD112*Source!I112, 2)</f>
        <v>2.56</v>
      </c>
      <c r="I254" s="30"/>
      <c r="J254" s="30">
        <f>IF(Source!BB112&lt;&gt; 0, Source!BB112, 1)</f>
        <v>6.61</v>
      </c>
      <c r="K254" s="29">
        <f>Source!Q112</f>
        <v>16.899999999999999</v>
      </c>
      <c r="L254" s="31"/>
    </row>
    <row r="255" spans="1:26" ht="14.25" x14ac:dyDescent="0.2">
      <c r="A255" s="44"/>
      <c r="B255" s="45"/>
      <c r="C255" s="45" t="s">
        <v>692</v>
      </c>
      <c r="D255" s="28"/>
      <c r="E255" s="10"/>
      <c r="F255" s="29">
        <f>Source!AN112</f>
        <v>0.5</v>
      </c>
      <c r="G255" s="30" t="str">
        <f>Source!DF112</f>
        <v/>
      </c>
      <c r="H255" s="39">
        <f>ROUND(Source!AE112*Source!I112, 2)</f>
        <v>0.36</v>
      </c>
      <c r="I255" s="30"/>
      <c r="J255" s="30">
        <f>IF(Source!BS112&lt;&gt; 0, Source!BS112, 1)</f>
        <v>6.61</v>
      </c>
      <c r="K255" s="39">
        <f>Source!R112</f>
        <v>2.38</v>
      </c>
      <c r="L255" s="31"/>
      <c r="R255">
        <f>H255</f>
        <v>0.36</v>
      </c>
    </row>
    <row r="256" spans="1:26" ht="14.25" x14ac:dyDescent="0.2">
      <c r="A256" s="44"/>
      <c r="B256" s="45"/>
      <c r="C256" s="45" t="s">
        <v>693</v>
      </c>
      <c r="D256" s="28"/>
      <c r="E256" s="10"/>
      <c r="F256" s="29">
        <f>Source!AL112</f>
        <v>14.48</v>
      </c>
      <c r="G256" s="30" t="str">
        <f>Source!DD112</f>
        <v/>
      </c>
      <c r="H256" s="29">
        <f>ROUND(Source!AC112*Source!I112, 2)</f>
        <v>10.43</v>
      </c>
      <c r="I256" s="30"/>
      <c r="J256" s="30">
        <f>IF(Source!BC112&lt;&gt; 0, Source!BC112, 1)</f>
        <v>6.61</v>
      </c>
      <c r="K256" s="29">
        <f>Source!P112</f>
        <v>68.91</v>
      </c>
      <c r="L256" s="31"/>
    </row>
    <row r="257" spans="1:26" ht="14.25" x14ac:dyDescent="0.2">
      <c r="A257" s="44"/>
      <c r="B257" s="45"/>
      <c r="C257" s="45" t="s">
        <v>687</v>
      </c>
      <c r="D257" s="28" t="s">
        <v>688</v>
      </c>
      <c r="E257" s="10">
        <f>Source!BZ112</f>
        <v>95</v>
      </c>
      <c r="F257" s="48"/>
      <c r="G257" s="30"/>
      <c r="H257" s="29">
        <f>SUM(S251:S260)</f>
        <v>35</v>
      </c>
      <c r="I257" s="32"/>
      <c r="J257" s="27">
        <f>Source!AT112</f>
        <v>95</v>
      </c>
      <c r="K257" s="29">
        <f>SUM(T251:T260)</f>
        <v>231.35</v>
      </c>
      <c r="L257" s="31"/>
    </row>
    <row r="258" spans="1:26" ht="14.25" x14ac:dyDescent="0.2">
      <c r="A258" s="44"/>
      <c r="B258" s="45"/>
      <c r="C258" s="45" t="s">
        <v>689</v>
      </c>
      <c r="D258" s="28" t="s">
        <v>688</v>
      </c>
      <c r="E258" s="10">
        <f>Source!CA112</f>
        <v>65</v>
      </c>
      <c r="F258" s="48"/>
      <c r="G258" s="30"/>
      <c r="H258" s="29">
        <f>SUM(U251:U260)</f>
        <v>23.95</v>
      </c>
      <c r="I258" s="32"/>
      <c r="J258" s="27">
        <f>Source!AU112</f>
        <v>65</v>
      </c>
      <c r="K258" s="29">
        <f>SUM(V251:V260)</f>
        <v>158.29</v>
      </c>
      <c r="L258" s="31"/>
    </row>
    <row r="259" spans="1:26" ht="14.25" x14ac:dyDescent="0.2">
      <c r="A259" s="44"/>
      <c r="B259" s="45"/>
      <c r="C259" s="45" t="s">
        <v>690</v>
      </c>
      <c r="D259" s="28" t="s">
        <v>691</v>
      </c>
      <c r="E259" s="10">
        <f>Source!AQ112</f>
        <v>5.39</v>
      </c>
      <c r="F259" s="29"/>
      <c r="G259" s="30" t="str">
        <f>Source!DI112</f>
        <v/>
      </c>
      <c r="H259" s="29"/>
      <c r="I259" s="30"/>
      <c r="J259" s="30"/>
      <c r="K259" s="29"/>
      <c r="L259" s="40">
        <f>Source!U112</f>
        <v>3.8807999999999998</v>
      </c>
    </row>
    <row r="260" spans="1:26" ht="85.5" x14ac:dyDescent="0.2">
      <c r="A260" s="46" t="str">
        <f>Source!E113</f>
        <v>22,1</v>
      </c>
      <c r="B260" s="47" t="str">
        <f>Source!F113</f>
        <v>21.1.06.09-0151</v>
      </c>
      <c r="C260" s="47" t="str">
        <f>Source!G113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260" s="33" t="str">
        <f>Source!H113</f>
        <v>1000 м</v>
      </c>
      <c r="E260" s="34">
        <f>Source!I113</f>
        <v>7.1999999999999995E-2</v>
      </c>
      <c r="F260" s="35">
        <f>Source!AL113+Source!AM113+Source!AO113</f>
        <v>4832.12</v>
      </c>
      <c r="G260" s="42" t="s">
        <v>3</v>
      </c>
      <c r="H260" s="35">
        <f>ROUND(Source!AC113*Source!I113, 2)+ROUND(Source!AD113*Source!I113, 2)+ROUND(Source!AF113*Source!I113, 2)</f>
        <v>347.91</v>
      </c>
      <c r="I260" s="36"/>
      <c r="J260" s="36">
        <f>IF(Source!BC113&lt;&gt; 0, Source!BC113, 1)</f>
        <v>6.61</v>
      </c>
      <c r="K260" s="35">
        <f>Source!O113</f>
        <v>2299.6999999999998</v>
      </c>
      <c r="L260" s="43"/>
      <c r="S260">
        <f>ROUND((Source!FX113/100)*((ROUND(Source!AF113*Source!I113, 2)+ROUND(Source!AE113*Source!I113, 2))), 2)</f>
        <v>0</v>
      </c>
      <c r="T260">
        <f>Source!X113</f>
        <v>0</v>
      </c>
      <c r="U260">
        <f>ROUND((Source!FY113/100)*((ROUND(Source!AF113*Source!I113, 2)+ROUND(Source!AE113*Source!I113, 2))), 2)</f>
        <v>0</v>
      </c>
      <c r="V260">
        <f>Source!Y113</f>
        <v>0</v>
      </c>
      <c r="W260">
        <f>IF(Source!BI113&lt;=1,H260, 0)</f>
        <v>0</v>
      </c>
      <c r="X260">
        <f>IF(Source!BI113=2,H260, 0)</f>
        <v>347.91</v>
      </c>
      <c r="Y260">
        <f>IF(Source!BI113=3,H260, 0)</f>
        <v>0</v>
      </c>
      <c r="Z260">
        <f>IF(Source!BI113=4,H260, 0)</f>
        <v>0</v>
      </c>
    </row>
    <row r="261" spans="1:26" ht="15" x14ac:dyDescent="0.25">
      <c r="G261" s="68">
        <f>H253+H254+H256+H257+H258+SUM(H260:H260)</f>
        <v>456.33000000000004</v>
      </c>
      <c r="H261" s="68"/>
      <c r="J261" s="68">
        <f>K253+K254+K256+K257+K258+SUM(K260:K260)</f>
        <v>3016.2999999999997</v>
      </c>
      <c r="K261" s="68"/>
      <c r="L261" s="38">
        <f>Source!U112</f>
        <v>3.8807999999999998</v>
      </c>
      <c r="O261" s="24">
        <f>G261</f>
        <v>456.33000000000004</v>
      </c>
      <c r="P261" s="24">
        <f>J261</f>
        <v>3016.2999999999997</v>
      </c>
      <c r="Q261" s="24">
        <f>L261</f>
        <v>3.8807999999999998</v>
      </c>
      <c r="W261">
        <f>IF(Source!BI112&lt;=1,H253+H254+H256+H257+H258, 0)</f>
        <v>0</v>
      </c>
      <c r="X261">
        <f>IF(Source!BI112=2,H253+H254+H256+H257+H258, 0)</f>
        <v>108.42</v>
      </c>
      <c r="Y261">
        <f>IF(Source!BI112=3,H253+H254+H256+H257+H258, 0)</f>
        <v>0</v>
      </c>
      <c r="Z261">
        <f>IF(Source!BI112=4,H253+H254+H256+H257+H258, 0)</f>
        <v>0</v>
      </c>
    </row>
    <row r="262" spans="1:26" ht="28.5" x14ac:dyDescent="0.2">
      <c r="A262" s="44" t="str">
        <f>Source!E114</f>
        <v>23</v>
      </c>
      <c r="B262" s="45" t="str">
        <f>Source!F114</f>
        <v>м08-02-390-01</v>
      </c>
      <c r="C262" s="45" t="str">
        <f>Source!G114</f>
        <v>Короба пластмассовые шириной до 40 мм</v>
      </c>
      <c r="D262" s="28" t="str">
        <f>Source!H114</f>
        <v>100 м</v>
      </c>
      <c r="E262" s="10">
        <f>Source!I114</f>
        <v>0.42</v>
      </c>
      <c r="F262" s="29">
        <f>Source!AL114+Source!AM114+Source!AO114</f>
        <v>206.76</v>
      </c>
      <c r="G262" s="30"/>
      <c r="H262" s="29"/>
      <c r="I262" s="30" t="str">
        <f>Source!BO114</f>
        <v/>
      </c>
      <c r="J262" s="30"/>
      <c r="K262" s="29"/>
      <c r="L262" s="31"/>
      <c r="S262">
        <f>ROUND((Source!FX114/100)*((ROUND(Source!AF114*Source!I114, 2)+ROUND(Source!AE114*Source!I114, 2))), 2)</f>
        <v>61.87</v>
      </c>
      <c r="T262">
        <f>Source!X114</f>
        <v>408.96</v>
      </c>
      <c r="U262">
        <f>ROUND((Source!FY114/100)*((ROUND(Source!AF114*Source!I114, 2)+ROUND(Source!AE114*Source!I114, 2))), 2)</f>
        <v>42.33</v>
      </c>
      <c r="V262">
        <f>Source!Y114</f>
        <v>279.81</v>
      </c>
    </row>
    <row r="263" spans="1:26" x14ac:dyDescent="0.2">
      <c r="C263" s="23" t="str">
        <f>"Объем: "&amp;Source!I114&amp;"=42/"&amp;"100"</f>
        <v>Объем: 0,42=42/100</v>
      </c>
    </row>
    <row r="264" spans="1:26" ht="14.25" x14ac:dyDescent="0.2">
      <c r="A264" s="44"/>
      <c r="B264" s="45"/>
      <c r="C264" s="45" t="s">
        <v>686</v>
      </c>
      <c r="D264" s="28"/>
      <c r="E264" s="10"/>
      <c r="F264" s="29">
        <f>Source!AO114</f>
        <v>154.91999999999999</v>
      </c>
      <c r="G264" s="30" t="str">
        <f>Source!DG114</f>
        <v/>
      </c>
      <c r="H264" s="29">
        <f>ROUND(Source!AF114*Source!I114, 2)</f>
        <v>65.069999999999993</v>
      </c>
      <c r="I264" s="30"/>
      <c r="J264" s="30">
        <f>IF(Source!BA114&lt;&gt; 0, Source!BA114, 1)</f>
        <v>6.61</v>
      </c>
      <c r="K264" s="29">
        <f>Source!S114</f>
        <v>430.09</v>
      </c>
      <c r="L264" s="31"/>
      <c r="R264">
        <f>H264</f>
        <v>65.069999999999993</v>
      </c>
    </row>
    <row r="265" spans="1:26" ht="14.25" x14ac:dyDescent="0.2">
      <c r="A265" s="44"/>
      <c r="B265" s="45"/>
      <c r="C265" s="45" t="s">
        <v>222</v>
      </c>
      <c r="D265" s="28"/>
      <c r="E265" s="10"/>
      <c r="F265" s="29">
        <f>Source!AM114</f>
        <v>0.31</v>
      </c>
      <c r="G265" s="30" t="str">
        <f>Source!DE114</f>
        <v/>
      </c>
      <c r="H265" s="29">
        <f>ROUND(Source!AD114*Source!I114, 2)</f>
        <v>0.13</v>
      </c>
      <c r="I265" s="30"/>
      <c r="J265" s="30">
        <f>IF(Source!BB114&lt;&gt; 0, Source!BB114, 1)</f>
        <v>6.61</v>
      </c>
      <c r="K265" s="29">
        <f>Source!Q114</f>
        <v>0.86</v>
      </c>
      <c r="L265" s="31"/>
    </row>
    <row r="266" spans="1:26" ht="14.25" x14ac:dyDescent="0.2">
      <c r="A266" s="44"/>
      <c r="B266" s="45"/>
      <c r="C266" s="45" t="s">
        <v>692</v>
      </c>
      <c r="D266" s="28"/>
      <c r="E266" s="10"/>
      <c r="F266" s="29">
        <f>Source!AN114</f>
        <v>0.14000000000000001</v>
      </c>
      <c r="G266" s="30" t="str">
        <f>Source!DF114</f>
        <v/>
      </c>
      <c r="H266" s="39">
        <f>ROUND(Source!AE114*Source!I114, 2)</f>
        <v>0.06</v>
      </c>
      <c r="I266" s="30"/>
      <c r="J266" s="30">
        <f>IF(Source!BS114&lt;&gt; 0, Source!BS114, 1)</f>
        <v>6.61</v>
      </c>
      <c r="K266" s="39">
        <f>Source!R114</f>
        <v>0.39</v>
      </c>
      <c r="L266" s="31"/>
      <c r="R266">
        <f>H266</f>
        <v>0.06</v>
      </c>
    </row>
    <row r="267" spans="1:26" ht="14.25" x14ac:dyDescent="0.2">
      <c r="A267" s="44"/>
      <c r="B267" s="45"/>
      <c r="C267" s="45" t="s">
        <v>693</v>
      </c>
      <c r="D267" s="28"/>
      <c r="E267" s="10"/>
      <c r="F267" s="29">
        <f>Source!AL114</f>
        <v>51.53</v>
      </c>
      <c r="G267" s="30" t="str">
        <f>Source!DD114</f>
        <v/>
      </c>
      <c r="H267" s="29">
        <f>ROUND(Source!AC114*Source!I114, 2)</f>
        <v>21.64</v>
      </c>
      <c r="I267" s="30"/>
      <c r="J267" s="30">
        <f>IF(Source!BC114&lt;&gt; 0, Source!BC114, 1)</f>
        <v>6.61</v>
      </c>
      <c r="K267" s="29">
        <f>Source!P114</f>
        <v>143.06</v>
      </c>
      <c r="L267" s="31"/>
    </row>
    <row r="268" spans="1:26" ht="14.25" x14ac:dyDescent="0.2">
      <c r="A268" s="44"/>
      <c r="B268" s="45"/>
      <c r="C268" s="45" t="s">
        <v>687</v>
      </c>
      <c r="D268" s="28" t="s">
        <v>688</v>
      </c>
      <c r="E268" s="10">
        <f>Source!BZ114</f>
        <v>95</v>
      </c>
      <c r="F268" s="48"/>
      <c r="G268" s="30"/>
      <c r="H268" s="29">
        <f>SUM(S262:S271)</f>
        <v>61.87</v>
      </c>
      <c r="I268" s="32"/>
      <c r="J268" s="27">
        <f>Source!AT114</f>
        <v>95</v>
      </c>
      <c r="K268" s="29">
        <f>SUM(T262:T271)</f>
        <v>408.96</v>
      </c>
      <c r="L268" s="31"/>
    </row>
    <row r="269" spans="1:26" ht="14.25" x14ac:dyDescent="0.2">
      <c r="A269" s="44"/>
      <c r="B269" s="45"/>
      <c r="C269" s="45" t="s">
        <v>689</v>
      </c>
      <c r="D269" s="28" t="s">
        <v>688</v>
      </c>
      <c r="E269" s="10">
        <f>Source!CA114</f>
        <v>65</v>
      </c>
      <c r="F269" s="48"/>
      <c r="G269" s="30"/>
      <c r="H269" s="29">
        <f>SUM(U262:U271)</f>
        <v>42.33</v>
      </c>
      <c r="I269" s="32"/>
      <c r="J269" s="27">
        <f>Source!AU114</f>
        <v>65</v>
      </c>
      <c r="K269" s="29">
        <f>SUM(V262:V271)</f>
        <v>279.81</v>
      </c>
      <c r="L269" s="31"/>
    </row>
    <row r="270" spans="1:26" ht="14.25" x14ac:dyDescent="0.2">
      <c r="A270" s="44"/>
      <c r="B270" s="45"/>
      <c r="C270" s="45" t="s">
        <v>690</v>
      </c>
      <c r="D270" s="28" t="s">
        <v>691</v>
      </c>
      <c r="E270" s="10">
        <f>Source!AQ114</f>
        <v>16.29</v>
      </c>
      <c r="F270" s="29"/>
      <c r="G270" s="30" t="str">
        <f>Source!DI114</f>
        <v/>
      </c>
      <c r="H270" s="29"/>
      <c r="I270" s="30"/>
      <c r="J270" s="30"/>
      <c r="K270" s="29"/>
      <c r="L270" s="40">
        <f>Source!U114</f>
        <v>6.8417999999999992</v>
      </c>
    </row>
    <row r="271" spans="1:26" ht="28.5" x14ac:dyDescent="0.2">
      <c r="A271" s="46" t="str">
        <f>Source!E115</f>
        <v>23,1</v>
      </c>
      <c r="B271" s="47" t="str">
        <f>Source!F115</f>
        <v>20.2.05.04-0013</v>
      </c>
      <c r="C271" s="47" t="str">
        <f>Source!G115</f>
        <v>Кабель-канал (короб) "Legrand" 40х20 мм</v>
      </c>
      <c r="D271" s="33" t="str">
        <f>Source!H115</f>
        <v>100 м</v>
      </c>
      <c r="E271" s="34">
        <f>Source!I115</f>
        <v>0.42</v>
      </c>
      <c r="F271" s="35">
        <f>Source!AL115+Source!AM115+Source!AO115</f>
        <v>2861</v>
      </c>
      <c r="G271" s="42" t="s">
        <v>3</v>
      </c>
      <c r="H271" s="35">
        <f>ROUND(Source!AC115*Source!I115, 2)+ROUND(Source!AD115*Source!I115, 2)+ROUND(Source!AF115*Source!I115, 2)</f>
        <v>1201.6199999999999</v>
      </c>
      <c r="I271" s="36"/>
      <c r="J271" s="36">
        <f>IF(Source!BC115&lt;&gt; 0, Source!BC115, 1)</f>
        <v>6.61</v>
      </c>
      <c r="K271" s="35">
        <f>Source!O115</f>
        <v>7942.71</v>
      </c>
      <c r="L271" s="43"/>
      <c r="S271">
        <f>ROUND((Source!FX115/100)*((ROUND(Source!AF115*Source!I115, 2)+ROUND(Source!AE115*Source!I115, 2))), 2)</f>
        <v>0</v>
      </c>
      <c r="T271">
        <f>Source!X115</f>
        <v>0</v>
      </c>
      <c r="U271">
        <f>ROUND((Source!FY115/100)*((ROUND(Source!AF115*Source!I115, 2)+ROUND(Source!AE115*Source!I115, 2))), 2)</f>
        <v>0</v>
      </c>
      <c r="V271">
        <f>Source!Y115</f>
        <v>0</v>
      </c>
      <c r="W271">
        <f>IF(Source!BI115&lt;=1,H271, 0)</f>
        <v>0</v>
      </c>
      <c r="X271">
        <f>IF(Source!BI115=2,H271, 0)</f>
        <v>1201.6199999999999</v>
      </c>
      <c r="Y271">
        <f>IF(Source!BI115=3,H271, 0)</f>
        <v>0</v>
      </c>
      <c r="Z271">
        <f>IF(Source!BI115=4,H271, 0)</f>
        <v>0</v>
      </c>
    </row>
    <row r="272" spans="1:26" ht="15" x14ac:dyDescent="0.25">
      <c r="G272" s="68">
        <f>H264+H265+H267+H268+H269+SUM(H271:H271)</f>
        <v>1392.6599999999999</v>
      </c>
      <c r="H272" s="68"/>
      <c r="J272" s="68">
        <f>K264+K265+K267+K268+K269+SUM(K271:K271)</f>
        <v>9205.49</v>
      </c>
      <c r="K272" s="68"/>
      <c r="L272" s="38">
        <f>Source!U114</f>
        <v>6.8417999999999992</v>
      </c>
      <c r="O272" s="24">
        <f>G272</f>
        <v>1392.6599999999999</v>
      </c>
      <c r="P272" s="24">
        <f>J272</f>
        <v>9205.49</v>
      </c>
      <c r="Q272" s="24">
        <f>L272</f>
        <v>6.8417999999999992</v>
      </c>
      <c r="W272">
        <f>IF(Source!BI114&lt;=1,H264+H265+H267+H268+H269, 0)</f>
        <v>0</v>
      </c>
      <c r="X272">
        <f>IF(Source!BI114=2,H264+H265+H267+H268+H269, 0)</f>
        <v>191.03999999999996</v>
      </c>
      <c r="Y272">
        <f>IF(Source!BI114=3,H264+H265+H267+H268+H269, 0)</f>
        <v>0</v>
      </c>
      <c r="Z272">
        <f>IF(Source!BI114=4,H264+H265+H267+H268+H269, 0)</f>
        <v>0</v>
      </c>
    </row>
    <row r="273" spans="1:26" ht="14.25" x14ac:dyDescent="0.2">
      <c r="A273" s="44" t="str">
        <f>Source!E116</f>
        <v>24</v>
      </c>
      <c r="B273" s="45" t="str">
        <f>Source!F116</f>
        <v>м08-02-399-02</v>
      </c>
      <c r="C273" s="45" t="str">
        <f>Source!G116</f>
        <v>Провод в коробах, сечением до 35 мм2</v>
      </c>
      <c r="D273" s="28" t="str">
        <f>Source!H116</f>
        <v>100 м</v>
      </c>
      <c r="E273" s="10">
        <f>Source!I116</f>
        <v>0.48</v>
      </c>
      <c r="F273" s="29">
        <f>Source!AL116+Source!AM116+Source!AO116</f>
        <v>50.72</v>
      </c>
      <c r="G273" s="30"/>
      <c r="H273" s="29"/>
      <c r="I273" s="30" t="str">
        <f>Source!BO116</f>
        <v/>
      </c>
      <c r="J273" s="30"/>
      <c r="K273" s="29"/>
      <c r="L273" s="31"/>
      <c r="S273">
        <f>ROUND((Source!FX116/100)*((ROUND(Source!AF116*Source!I116, 2)+ROUND(Source!AE116*Source!I116, 2))), 2)</f>
        <v>16.23</v>
      </c>
      <c r="T273">
        <f>Source!X116</f>
        <v>107.3</v>
      </c>
      <c r="U273">
        <f>ROUND((Source!FY116/100)*((ROUND(Source!AF116*Source!I116, 2)+ROUND(Source!AE116*Source!I116, 2))), 2)</f>
        <v>11.1</v>
      </c>
      <c r="V273">
        <f>Source!Y116</f>
        <v>73.42</v>
      </c>
    </row>
    <row r="274" spans="1:26" x14ac:dyDescent="0.2">
      <c r="C274" s="23" t="str">
        <f>"Объем: "&amp;Source!I116&amp;"=48/"&amp;"100"</f>
        <v>Объем: 0,48=48/100</v>
      </c>
    </row>
    <row r="275" spans="1:26" ht="14.25" x14ac:dyDescent="0.2">
      <c r="A275" s="44"/>
      <c r="B275" s="45"/>
      <c r="C275" s="45" t="s">
        <v>686</v>
      </c>
      <c r="D275" s="28"/>
      <c r="E275" s="10"/>
      <c r="F275" s="29">
        <f>Source!AO116</f>
        <v>35.340000000000003</v>
      </c>
      <c r="G275" s="30" t="str">
        <f>Source!DG116</f>
        <v/>
      </c>
      <c r="H275" s="29">
        <f>ROUND(Source!AF116*Source!I116, 2)</f>
        <v>16.96</v>
      </c>
      <c r="I275" s="30"/>
      <c r="J275" s="30">
        <f>IF(Source!BA116&lt;&gt; 0, Source!BA116, 1)</f>
        <v>6.61</v>
      </c>
      <c r="K275" s="29">
        <f>Source!S116</f>
        <v>112.13</v>
      </c>
      <c r="L275" s="31"/>
      <c r="R275">
        <f>H275</f>
        <v>16.96</v>
      </c>
    </row>
    <row r="276" spans="1:26" ht="14.25" x14ac:dyDescent="0.2">
      <c r="A276" s="44"/>
      <c r="B276" s="45"/>
      <c r="C276" s="45" t="s">
        <v>222</v>
      </c>
      <c r="D276" s="28"/>
      <c r="E276" s="10"/>
      <c r="F276" s="29">
        <f>Source!AM116</f>
        <v>1.78</v>
      </c>
      <c r="G276" s="30" t="str">
        <f>Source!DE116</f>
        <v/>
      </c>
      <c r="H276" s="29">
        <f>ROUND(Source!AD116*Source!I116, 2)</f>
        <v>0.85</v>
      </c>
      <c r="I276" s="30"/>
      <c r="J276" s="30">
        <f>IF(Source!BB116&lt;&gt; 0, Source!BB116, 1)</f>
        <v>6.61</v>
      </c>
      <c r="K276" s="29">
        <f>Source!Q116</f>
        <v>5.65</v>
      </c>
      <c r="L276" s="31"/>
    </row>
    <row r="277" spans="1:26" ht="14.25" x14ac:dyDescent="0.2">
      <c r="A277" s="44"/>
      <c r="B277" s="45"/>
      <c r="C277" s="45" t="s">
        <v>692</v>
      </c>
      <c r="D277" s="28"/>
      <c r="E277" s="10"/>
      <c r="F277" s="29">
        <f>Source!AN116</f>
        <v>0.26</v>
      </c>
      <c r="G277" s="30" t="str">
        <f>Source!DF116</f>
        <v/>
      </c>
      <c r="H277" s="39">
        <f>ROUND(Source!AE116*Source!I116, 2)</f>
        <v>0.12</v>
      </c>
      <c r="I277" s="30"/>
      <c r="J277" s="30">
        <f>IF(Source!BS116&lt;&gt; 0, Source!BS116, 1)</f>
        <v>6.61</v>
      </c>
      <c r="K277" s="39">
        <f>Source!R116</f>
        <v>0.82</v>
      </c>
      <c r="L277" s="31"/>
      <c r="R277">
        <f>H277</f>
        <v>0.12</v>
      </c>
    </row>
    <row r="278" spans="1:26" ht="14.25" x14ac:dyDescent="0.2">
      <c r="A278" s="44"/>
      <c r="B278" s="45"/>
      <c r="C278" s="45" t="s">
        <v>693</v>
      </c>
      <c r="D278" s="28"/>
      <c r="E278" s="10"/>
      <c r="F278" s="29">
        <f>Source!AL116</f>
        <v>13.6</v>
      </c>
      <c r="G278" s="30" t="str">
        <f>Source!DD116</f>
        <v/>
      </c>
      <c r="H278" s="29">
        <f>ROUND(Source!AC116*Source!I116, 2)</f>
        <v>6.53</v>
      </c>
      <c r="I278" s="30"/>
      <c r="J278" s="30">
        <f>IF(Source!BC116&lt;&gt; 0, Source!BC116, 1)</f>
        <v>6.61</v>
      </c>
      <c r="K278" s="29">
        <f>Source!P116</f>
        <v>43.15</v>
      </c>
      <c r="L278" s="31"/>
    </row>
    <row r="279" spans="1:26" ht="14.25" x14ac:dyDescent="0.2">
      <c r="A279" s="44"/>
      <c r="B279" s="45"/>
      <c r="C279" s="45" t="s">
        <v>687</v>
      </c>
      <c r="D279" s="28" t="s">
        <v>688</v>
      </c>
      <c r="E279" s="10">
        <f>Source!BZ116</f>
        <v>95</v>
      </c>
      <c r="F279" s="48"/>
      <c r="G279" s="30"/>
      <c r="H279" s="29">
        <f>SUM(S273:S282)</f>
        <v>16.23</v>
      </c>
      <c r="I279" s="32"/>
      <c r="J279" s="27">
        <f>Source!AT116</f>
        <v>95</v>
      </c>
      <c r="K279" s="29">
        <f>SUM(T273:T282)</f>
        <v>107.3</v>
      </c>
      <c r="L279" s="31"/>
    </row>
    <row r="280" spans="1:26" ht="14.25" x14ac:dyDescent="0.2">
      <c r="A280" s="44"/>
      <c r="B280" s="45"/>
      <c r="C280" s="45" t="s">
        <v>689</v>
      </c>
      <c r="D280" s="28" t="s">
        <v>688</v>
      </c>
      <c r="E280" s="10">
        <f>Source!CA116</f>
        <v>65</v>
      </c>
      <c r="F280" s="48"/>
      <c r="G280" s="30"/>
      <c r="H280" s="29">
        <f>SUM(U273:U282)</f>
        <v>11.1</v>
      </c>
      <c r="I280" s="32"/>
      <c r="J280" s="27">
        <f>Source!AU116</f>
        <v>65</v>
      </c>
      <c r="K280" s="29">
        <f>SUM(V273:V282)</f>
        <v>73.42</v>
      </c>
      <c r="L280" s="31"/>
    </row>
    <row r="281" spans="1:26" ht="14.25" x14ac:dyDescent="0.2">
      <c r="A281" s="44"/>
      <c r="B281" s="45"/>
      <c r="C281" s="45" t="s">
        <v>690</v>
      </c>
      <c r="D281" s="28" t="s">
        <v>691</v>
      </c>
      <c r="E281" s="10">
        <f>Source!AQ116</f>
        <v>3.76</v>
      </c>
      <c r="F281" s="29"/>
      <c r="G281" s="30" t="str">
        <f>Source!DI116</f>
        <v/>
      </c>
      <c r="H281" s="29"/>
      <c r="I281" s="30"/>
      <c r="J281" s="30"/>
      <c r="K281" s="29"/>
      <c r="L281" s="40">
        <f>Source!U116</f>
        <v>1.8047999999999997</v>
      </c>
    </row>
    <row r="282" spans="1:26" ht="85.5" x14ac:dyDescent="0.2">
      <c r="A282" s="46" t="str">
        <f>Source!E117</f>
        <v>24,1</v>
      </c>
      <c r="B282" s="47" t="str">
        <f>Source!F117</f>
        <v>21.1.06.09-0152</v>
      </c>
      <c r="C282" s="47" t="str">
        <f>Source!G117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282" s="33" t="str">
        <f>Source!H117</f>
        <v>1000 м</v>
      </c>
      <c r="E282" s="34">
        <f>Source!I117</f>
        <v>4.8000000000000001E-2</v>
      </c>
      <c r="F282" s="35">
        <f>Source!AL117+Source!AM117+Source!AO117</f>
        <v>6920.41</v>
      </c>
      <c r="G282" s="42" t="s">
        <v>3</v>
      </c>
      <c r="H282" s="35">
        <f>ROUND(Source!AC117*Source!I117, 2)+ROUND(Source!AD117*Source!I117, 2)+ROUND(Source!AF117*Source!I117, 2)</f>
        <v>332.18</v>
      </c>
      <c r="I282" s="36"/>
      <c r="J282" s="36">
        <f>IF(Source!BC117&lt;&gt; 0, Source!BC117, 1)</f>
        <v>6.61</v>
      </c>
      <c r="K282" s="35">
        <f>Source!O117</f>
        <v>2195.71</v>
      </c>
      <c r="L282" s="43"/>
      <c r="S282">
        <f>ROUND((Source!FX117/100)*((ROUND(Source!AF117*Source!I117, 2)+ROUND(Source!AE117*Source!I117, 2))), 2)</f>
        <v>0</v>
      </c>
      <c r="T282">
        <f>Source!X117</f>
        <v>0</v>
      </c>
      <c r="U282">
        <f>ROUND((Source!FY117/100)*((ROUND(Source!AF117*Source!I117, 2)+ROUND(Source!AE117*Source!I117, 2))), 2)</f>
        <v>0</v>
      </c>
      <c r="V282">
        <f>Source!Y117</f>
        <v>0</v>
      </c>
      <c r="W282">
        <f>IF(Source!BI117&lt;=1,H282, 0)</f>
        <v>0</v>
      </c>
      <c r="X282">
        <f>IF(Source!BI117=2,H282, 0)</f>
        <v>332.18</v>
      </c>
      <c r="Y282">
        <f>IF(Source!BI117=3,H282, 0)</f>
        <v>0</v>
      </c>
      <c r="Z282">
        <f>IF(Source!BI117=4,H282, 0)</f>
        <v>0</v>
      </c>
    </row>
    <row r="283" spans="1:26" ht="15" x14ac:dyDescent="0.25">
      <c r="G283" s="68">
        <f>H275+H276+H278+H279+H280+SUM(H282:H282)</f>
        <v>383.85</v>
      </c>
      <c r="H283" s="68"/>
      <c r="J283" s="68">
        <f>K275+K276+K278+K279+K280+SUM(K282:K282)</f>
        <v>2537.36</v>
      </c>
      <c r="K283" s="68"/>
      <c r="L283" s="38">
        <f>Source!U116</f>
        <v>1.8047999999999997</v>
      </c>
      <c r="O283" s="24">
        <f>G283</f>
        <v>383.85</v>
      </c>
      <c r="P283" s="24">
        <f>J283</f>
        <v>2537.36</v>
      </c>
      <c r="Q283" s="24">
        <f>L283</f>
        <v>1.8047999999999997</v>
      </c>
      <c r="W283">
        <f>IF(Source!BI116&lt;=1,H275+H276+H278+H279+H280, 0)</f>
        <v>0</v>
      </c>
      <c r="X283">
        <f>IF(Source!BI116=2,H275+H276+H278+H279+H280, 0)</f>
        <v>51.670000000000009</v>
      </c>
      <c r="Y283">
        <f>IF(Source!BI116=3,H275+H276+H278+H279+H280, 0)</f>
        <v>0</v>
      </c>
      <c r="Z283">
        <f>IF(Source!BI116=4,H275+H276+H278+H279+H280, 0)</f>
        <v>0</v>
      </c>
    </row>
    <row r="284" spans="1:26" ht="28.5" x14ac:dyDescent="0.2">
      <c r="A284" s="44" t="str">
        <f>Source!E118</f>
        <v>25</v>
      </c>
      <c r="B284" s="45" t="str">
        <f>Source!F118</f>
        <v>м08-03-591-08</v>
      </c>
      <c r="C284" s="45" t="str">
        <f>Source!G118</f>
        <v>Розетка штепсельная неутопленного типа при открытой проводке</v>
      </c>
      <c r="D284" s="28" t="str">
        <f>Source!H118</f>
        <v>100 ШТ</v>
      </c>
      <c r="E284" s="10">
        <f>Source!I118</f>
        <v>0.08</v>
      </c>
      <c r="F284" s="29">
        <f>Source!AL118+Source!AM118+Source!AO118</f>
        <v>453.92999999999995</v>
      </c>
      <c r="G284" s="30"/>
      <c r="H284" s="29"/>
      <c r="I284" s="30" t="str">
        <f>Source!BO118</f>
        <v/>
      </c>
      <c r="J284" s="30"/>
      <c r="K284" s="29"/>
      <c r="L284" s="31"/>
      <c r="S284">
        <f>ROUND((Source!FX118/100)*((ROUND(Source!AF118*Source!I118, 2)+ROUND(Source!AE118*Source!I118, 2))), 2)</f>
        <v>26.11</v>
      </c>
      <c r="T284">
        <f>Source!X118</f>
        <v>172.55</v>
      </c>
      <c r="U284">
        <f>ROUND((Source!FY118/100)*((ROUND(Source!AF118*Source!I118, 2)+ROUND(Source!AE118*Source!I118, 2))), 2)</f>
        <v>17.86</v>
      </c>
      <c r="V284">
        <f>Source!Y118</f>
        <v>118.06</v>
      </c>
    </row>
    <row r="285" spans="1:26" x14ac:dyDescent="0.2">
      <c r="C285" s="23" t="str">
        <f>"Объем: "&amp;Source!I118&amp;"=8/"&amp;"100"</f>
        <v>Объем: 0,08=8/100</v>
      </c>
    </row>
    <row r="286" spans="1:26" ht="14.25" x14ac:dyDescent="0.2">
      <c r="A286" s="44"/>
      <c r="B286" s="45"/>
      <c r="C286" s="45" t="s">
        <v>686</v>
      </c>
      <c r="D286" s="28"/>
      <c r="E286" s="10"/>
      <c r="F286" s="29">
        <f>Source!AO118</f>
        <v>342.84</v>
      </c>
      <c r="G286" s="30" t="str">
        <f>Source!DG118</f>
        <v/>
      </c>
      <c r="H286" s="29">
        <f>ROUND(Source!AF118*Source!I118, 2)</f>
        <v>27.43</v>
      </c>
      <c r="I286" s="30"/>
      <c r="J286" s="30">
        <f>IF(Source!BA118&lt;&gt; 0, Source!BA118, 1)</f>
        <v>6.61</v>
      </c>
      <c r="K286" s="29">
        <f>Source!S118</f>
        <v>181.29</v>
      </c>
      <c r="L286" s="31"/>
      <c r="R286">
        <f>H286</f>
        <v>27.43</v>
      </c>
    </row>
    <row r="287" spans="1:26" ht="14.25" x14ac:dyDescent="0.2">
      <c r="A287" s="44"/>
      <c r="B287" s="45"/>
      <c r="C287" s="45" t="s">
        <v>222</v>
      </c>
      <c r="D287" s="28"/>
      <c r="E287" s="10"/>
      <c r="F287" s="29">
        <f>Source!AM118</f>
        <v>4.67</v>
      </c>
      <c r="G287" s="30" t="str">
        <f>Source!DE118</f>
        <v/>
      </c>
      <c r="H287" s="29">
        <f>ROUND(Source!AD118*Source!I118, 2)</f>
        <v>0.37</v>
      </c>
      <c r="I287" s="30"/>
      <c r="J287" s="30">
        <f>IF(Source!BB118&lt;&gt; 0, Source!BB118, 1)</f>
        <v>6.61</v>
      </c>
      <c r="K287" s="29">
        <f>Source!Q118</f>
        <v>2.4700000000000002</v>
      </c>
      <c r="L287" s="31"/>
    </row>
    <row r="288" spans="1:26" ht="14.25" x14ac:dyDescent="0.2">
      <c r="A288" s="44"/>
      <c r="B288" s="45"/>
      <c r="C288" s="45" t="s">
        <v>692</v>
      </c>
      <c r="D288" s="28"/>
      <c r="E288" s="10"/>
      <c r="F288" s="29">
        <f>Source!AN118</f>
        <v>0.64</v>
      </c>
      <c r="G288" s="30" t="str">
        <f>Source!DF118</f>
        <v/>
      </c>
      <c r="H288" s="39">
        <f>ROUND(Source!AE118*Source!I118, 2)</f>
        <v>0.05</v>
      </c>
      <c r="I288" s="30"/>
      <c r="J288" s="30">
        <f>IF(Source!BS118&lt;&gt; 0, Source!BS118, 1)</f>
        <v>6.61</v>
      </c>
      <c r="K288" s="39">
        <f>Source!R118</f>
        <v>0.34</v>
      </c>
      <c r="L288" s="31"/>
      <c r="R288">
        <f>H288</f>
        <v>0.05</v>
      </c>
    </row>
    <row r="289" spans="1:26" ht="14.25" x14ac:dyDescent="0.2">
      <c r="A289" s="44"/>
      <c r="B289" s="45"/>
      <c r="C289" s="45" t="s">
        <v>693</v>
      </c>
      <c r="D289" s="28"/>
      <c r="E289" s="10"/>
      <c r="F289" s="29">
        <f>Source!AL118</f>
        <v>106.42</v>
      </c>
      <c r="G289" s="30" t="str">
        <f>Source!DD118</f>
        <v/>
      </c>
      <c r="H289" s="29">
        <f>ROUND(Source!AC118*Source!I118, 2)</f>
        <v>8.51</v>
      </c>
      <c r="I289" s="30"/>
      <c r="J289" s="30">
        <f>IF(Source!BC118&lt;&gt; 0, Source!BC118, 1)</f>
        <v>6.61</v>
      </c>
      <c r="K289" s="29">
        <f>Source!P118</f>
        <v>56.27</v>
      </c>
      <c r="L289" s="31"/>
    </row>
    <row r="290" spans="1:26" ht="14.25" x14ac:dyDescent="0.2">
      <c r="A290" s="44"/>
      <c r="B290" s="45"/>
      <c r="C290" s="45" t="s">
        <v>687</v>
      </c>
      <c r="D290" s="28" t="s">
        <v>688</v>
      </c>
      <c r="E290" s="10">
        <f>Source!BZ118</f>
        <v>95</v>
      </c>
      <c r="F290" s="48"/>
      <c r="G290" s="30"/>
      <c r="H290" s="29">
        <f>SUM(S284:S293)</f>
        <v>26.11</v>
      </c>
      <c r="I290" s="32"/>
      <c r="J290" s="27">
        <f>Source!AT118</f>
        <v>95</v>
      </c>
      <c r="K290" s="29">
        <f>SUM(T284:T293)</f>
        <v>172.55</v>
      </c>
      <c r="L290" s="31"/>
    </row>
    <row r="291" spans="1:26" ht="14.25" x14ac:dyDescent="0.2">
      <c r="A291" s="44"/>
      <c r="B291" s="45"/>
      <c r="C291" s="45" t="s">
        <v>689</v>
      </c>
      <c r="D291" s="28" t="s">
        <v>688</v>
      </c>
      <c r="E291" s="10">
        <f>Source!CA118</f>
        <v>65</v>
      </c>
      <c r="F291" s="48"/>
      <c r="G291" s="30"/>
      <c r="H291" s="29">
        <f>SUM(U284:U293)</f>
        <v>17.86</v>
      </c>
      <c r="I291" s="32"/>
      <c r="J291" s="27">
        <f>Source!AU118</f>
        <v>65</v>
      </c>
      <c r="K291" s="29">
        <f>SUM(V284:V293)</f>
        <v>118.06</v>
      </c>
      <c r="L291" s="31"/>
    </row>
    <row r="292" spans="1:26" ht="14.25" x14ac:dyDescent="0.2">
      <c r="A292" s="44"/>
      <c r="B292" s="45"/>
      <c r="C292" s="45" t="s">
        <v>690</v>
      </c>
      <c r="D292" s="28" t="s">
        <v>691</v>
      </c>
      <c r="E292" s="10">
        <f>Source!AQ118</f>
        <v>34.56</v>
      </c>
      <c r="F292" s="29"/>
      <c r="G292" s="30" t="str">
        <f>Source!DI118</f>
        <v/>
      </c>
      <c r="H292" s="29"/>
      <c r="I292" s="30"/>
      <c r="J292" s="30"/>
      <c r="K292" s="29"/>
      <c r="L292" s="40">
        <f>Source!U118</f>
        <v>2.7648000000000001</v>
      </c>
    </row>
    <row r="293" spans="1:26" ht="28.5" x14ac:dyDescent="0.2">
      <c r="A293" s="46" t="str">
        <f>Source!E119</f>
        <v>25,1</v>
      </c>
      <c r="B293" s="47" t="str">
        <f>Source!F119</f>
        <v>20.4.03.05-0004</v>
      </c>
      <c r="C293" s="47" t="str">
        <f>Source!G119</f>
        <v>Розетка открытой проводки с заземлением</v>
      </c>
      <c r="D293" s="33" t="str">
        <f>Source!H119</f>
        <v>100 шт.</v>
      </c>
      <c r="E293" s="34">
        <f>Source!I119</f>
        <v>0.08</v>
      </c>
      <c r="F293" s="35">
        <f>Source!AL119+Source!AM119+Source!AO119</f>
        <v>899</v>
      </c>
      <c r="G293" s="42" t="s">
        <v>3</v>
      </c>
      <c r="H293" s="35">
        <f>ROUND(Source!AC119*Source!I119, 2)+ROUND(Source!AD119*Source!I119, 2)+ROUND(Source!AF119*Source!I119, 2)</f>
        <v>71.92</v>
      </c>
      <c r="I293" s="36"/>
      <c r="J293" s="36">
        <f>IF(Source!BC119&lt;&gt; 0, Source!BC119, 1)</f>
        <v>6.61</v>
      </c>
      <c r="K293" s="35">
        <f>Source!O119</f>
        <v>475.39</v>
      </c>
      <c r="L293" s="43"/>
      <c r="S293">
        <f>ROUND((Source!FX119/100)*((ROUND(Source!AF119*Source!I119, 2)+ROUND(Source!AE119*Source!I119, 2))), 2)</f>
        <v>0</v>
      </c>
      <c r="T293">
        <f>Source!X119</f>
        <v>0</v>
      </c>
      <c r="U293">
        <f>ROUND((Source!FY119/100)*((ROUND(Source!AF119*Source!I119, 2)+ROUND(Source!AE119*Source!I119, 2))), 2)</f>
        <v>0</v>
      </c>
      <c r="V293">
        <f>Source!Y119</f>
        <v>0</v>
      </c>
      <c r="W293">
        <f>IF(Source!BI119&lt;=1,H293, 0)</f>
        <v>0</v>
      </c>
      <c r="X293">
        <f>IF(Source!BI119=2,H293, 0)</f>
        <v>71.92</v>
      </c>
      <c r="Y293">
        <f>IF(Source!BI119=3,H293, 0)</f>
        <v>0</v>
      </c>
      <c r="Z293">
        <f>IF(Source!BI119=4,H293, 0)</f>
        <v>0</v>
      </c>
    </row>
    <row r="294" spans="1:26" ht="15" x14ac:dyDescent="0.25">
      <c r="G294" s="68">
        <f>H286+H287+H289+H290+H291+SUM(H293:H293)</f>
        <v>152.19999999999999</v>
      </c>
      <c r="H294" s="68"/>
      <c r="J294" s="68">
        <f>K286+K287+K289+K290+K291+SUM(K293:K293)</f>
        <v>1006.0300000000001</v>
      </c>
      <c r="K294" s="68"/>
      <c r="L294" s="38">
        <f>Source!U118</f>
        <v>2.7648000000000001</v>
      </c>
      <c r="O294" s="24">
        <f>G294</f>
        <v>152.19999999999999</v>
      </c>
      <c r="P294" s="24">
        <f>J294</f>
        <v>1006.0300000000001</v>
      </c>
      <c r="Q294" s="24">
        <f>L294</f>
        <v>2.7648000000000001</v>
      </c>
      <c r="W294">
        <f>IF(Source!BI118&lt;=1,H286+H287+H289+H290+H291, 0)</f>
        <v>0</v>
      </c>
      <c r="X294">
        <f>IF(Source!BI118=2,H286+H287+H289+H290+H291, 0)</f>
        <v>80.28</v>
      </c>
      <c r="Y294">
        <f>IF(Source!BI118=3,H286+H287+H289+H290+H291, 0)</f>
        <v>0</v>
      </c>
      <c r="Z294">
        <f>IF(Source!BI118=4,H286+H287+H289+H290+H291, 0)</f>
        <v>0</v>
      </c>
    </row>
    <row r="295" spans="1:26" ht="42.75" x14ac:dyDescent="0.2">
      <c r="A295" s="44" t="str">
        <f>Source!E120</f>
        <v>26</v>
      </c>
      <c r="B295" s="45" t="str">
        <f>Source!F120</f>
        <v>м08-03-591-01</v>
      </c>
      <c r="C295" s="45" t="str">
        <f>Source!G120</f>
        <v>Выключатель одноклавишный неутопленного типа при открытой проводке</v>
      </c>
      <c r="D295" s="28" t="str">
        <f>Source!H120</f>
        <v>100 ШТ</v>
      </c>
      <c r="E295" s="10">
        <f>Source!I120</f>
        <v>0.06</v>
      </c>
      <c r="F295" s="29">
        <f>Source!AL120+Source!AM120+Source!AO120</f>
        <v>423.97</v>
      </c>
      <c r="G295" s="30"/>
      <c r="H295" s="29"/>
      <c r="I295" s="30" t="str">
        <f>Source!BO120</f>
        <v/>
      </c>
      <c r="J295" s="30"/>
      <c r="K295" s="29"/>
      <c r="L295" s="31"/>
      <c r="S295">
        <f>ROUND((Source!FX120/100)*((ROUND(Source!AF120*Source!I120, 2)+ROUND(Source!AE120*Source!I120, 2))), 2)</f>
        <v>17.91</v>
      </c>
      <c r="T295">
        <f>Source!X120</f>
        <v>118.34</v>
      </c>
      <c r="U295">
        <f>ROUND((Source!FY120/100)*((ROUND(Source!AF120*Source!I120, 2)+ROUND(Source!AE120*Source!I120, 2))), 2)</f>
        <v>12.25</v>
      </c>
      <c r="V295">
        <f>Source!Y120</f>
        <v>80.97</v>
      </c>
    </row>
    <row r="296" spans="1:26" x14ac:dyDescent="0.2">
      <c r="C296" s="23" t="str">
        <f>"Объем: "&amp;Source!I120&amp;"=6/"&amp;"100"</f>
        <v>Объем: 0,06=6/100</v>
      </c>
    </row>
    <row r="297" spans="1:26" ht="14.25" x14ac:dyDescent="0.2">
      <c r="A297" s="44"/>
      <c r="B297" s="45"/>
      <c r="C297" s="45" t="s">
        <v>686</v>
      </c>
      <c r="D297" s="28"/>
      <c r="E297" s="10"/>
      <c r="F297" s="29">
        <f>Source!AO120</f>
        <v>313.47000000000003</v>
      </c>
      <c r="G297" s="30" t="str">
        <f>Source!DG120</f>
        <v/>
      </c>
      <c r="H297" s="29">
        <f>ROUND(Source!AF120*Source!I120, 2)</f>
        <v>18.809999999999999</v>
      </c>
      <c r="I297" s="30"/>
      <c r="J297" s="30">
        <f>IF(Source!BA120&lt;&gt; 0, Source!BA120, 1)</f>
        <v>6.61</v>
      </c>
      <c r="K297" s="29">
        <f>Source!S120</f>
        <v>124.32</v>
      </c>
      <c r="L297" s="31"/>
      <c r="R297">
        <f>H297</f>
        <v>18.809999999999999</v>
      </c>
    </row>
    <row r="298" spans="1:26" ht="14.25" x14ac:dyDescent="0.2">
      <c r="A298" s="44"/>
      <c r="B298" s="45"/>
      <c r="C298" s="45" t="s">
        <v>222</v>
      </c>
      <c r="D298" s="28"/>
      <c r="E298" s="10"/>
      <c r="F298" s="29">
        <f>Source!AM120</f>
        <v>4.67</v>
      </c>
      <c r="G298" s="30" t="str">
        <f>Source!DE120</f>
        <v/>
      </c>
      <c r="H298" s="29">
        <f>ROUND(Source!AD120*Source!I120, 2)</f>
        <v>0.28000000000000003</v>
      </c>
      <c r="I298" s="30"/>
      <c r="J298" s="30">
        <f>IF(Source!BB120&lt;&gt; 0, Source!BB120, 1)</f>
        <v>6.61</v>
      </c>
      <c r="K298" s="29">
        <f>Source!Q120</f>
        <v>1.85</v>
      </c>
      <c r="L298" s="31"/>
    </row>
    <row r="299" spans="1:26" ht="14.25" x14ac:dyDescent="0.2">
      <c r="A299" s="44"/>
      <c r="B299" s="45"/>
      <c r="C299" s="45" t="s">
        <v>692</v>
      </c>
      <c r="D299" s="28"/>
      <c r="E299" s="10"/>
      <c r="F299" s="29">
        <f>Source!AN120</f>
        <v>0.64</v>
      </c>
      <c r="G299" s="30" t="str">
        <f>Source!DF120</f>
        <v/>
      </c>
      <c r="H299" s="39">
        <f>ROUND(Source!AE120*Source!I120, 2)</f>
        <v>0.04</v>
      </c>
      <c r="I299" s="30"/>
      <c r="J299" s="30">
        <f>IF(Source!BS120&lt;&gt; 0, Source!BS120, 1)</f>
        <v>6.61</v>
      </c>
      <c r="K299" s="39">
        <f>Source!R120</f>
        <v>0.25</v>
      </c>
      <c r="L299" s="31"/>
      <c r="R299">
        <f>H299</f>
        <v>0.04</v>
      </c>
    </row>
    <row r="300" spans="1:26" ht="14.25" x14ac:dyDescent="0.2">
      <c r="A300" s="44"/>
      <c r="B300" s="45"/>
      <c r="C300" s="45" t="s">
        <v>693</v>
      </c>
      <c r="D300" s="28"/>
      <c r="E300" s="10"/>
      <c r="F300" s="29">
        <f>Source!AL120</f>
        <v>105.83</v>
      </c>
      <c r="G300" s="30" t="str">
        <f>Source!DD120</f>
        <v/>
      </c>
      <c r="H300" s="29">
        <f>ROUND(Source!AC120*Source!I120, 2)</f>
        <v>6.35</v>
      </c>
      <c r="I300" s="30"/>
      <c r="J300" s="30">
        <f>IF(Source!BC120&lt;&gt; 0, Source!BC120, 1)</f>
        <v>6.61</v>
      </c>
      <c r="K300" s="29">
        <f>Source!P120</f>
        <v>41.97</v>
      </c>
      <c r="L300" s="31"/>
    </row>
    <row r="301" spans="1:26" ht="14.25" x14ac:dyDescent="0.2">
      <c r="A301" s="44"/>
      <c r="B301" s="45"/>
      <c r="C301" s="45" t="s">
        <v>687</v>
      </c>
      <c r="D301" s="28" t="s">
        <v>688</v>
      </c>
      <c r="E301" s="10">
        <f>Source!BZ120</f>
        <v>95</v>
      </c>
      <c r="F301" s="48"/>
      <c r="G301" s="30"/>
      <c r="H301" s="29">
        <f>SUM(S295:S304)</f>
        <v>17.91</v>
      </c>
      <c r="I301" s="32"/>
      <c r="J301" s="27">
        <f>Source!AT120</f>
        <v>95</v>
      </c>
      <c r="K301" s="29">
        <f>SUM(T295:T304)</f>
        <v>118.34</v>
      </c>
      <c r="L301" s="31"/>
    </row>
    <row r="302" spans="1:26" ht="14.25" x14ac:dyDescent="0.2">
      <c r="A302" s="44"/>
      <c r="B302" s="45"/>
      <c r="C302" s="45" t="s">
        <v>689</v>
      </c>
      <c r="D302" s="28" t="s">
        <v>688</v>
      </c>
      <c r="E302" s="10">
        <f>Source!CA120</f>
        <v>65</v>
      </c>
      <c r="F302" s="48"/>
      <c r="G302" s="30"/>
      <c r="H302" s="29">
        <f>SUM(U295:U304)</f>
        <v>12.25</v>
      </c>
      <c r="I302" s="32"/>
      <c r="J302" s="27">
        <f>Source!AU120</f>
        <v>65</v>
      </c>
      <c r="K302" s="29">
        <f>SUM(V295:V304)</f>
        <v>80.97</v>
      </c>
      <c r="L302" s="31"/>
    </row>
    <row r="303" spans="1:26" ht="14.25" x14ac:dyDescent="0.2">
      <c r="A303" s="44"/>
      <c r="B303" s="45"/>
      <c r="C303" s="45" t="s">
        <v>690</v>
      </c>
      <c r="D303" s="28" t="s">
        <v>691</v>
      </c>
      <c r="E303" s="10">
        <f>Source!AQ120</f>
        <v>31.6</v>
      </c>
      <c r="F303" s="29"/>
      <c r="G303" s="30" t="str">
        <f>Source!DI120</f>
        <v/>
      </c>
      <c r="H303" s="29"/>
      <c r="I303" s="30"/>
      <c r="J303" s="30"/>
      <c r="K303" s="29"/>
      <c r="L303" s="40">
        <f>Source!U120</f>
        <v>1.8959999999999999</v>
      </c>
    </row>
    <row r="304" spans="1:26" ht="57" x14ac:dyDescent="0.2">
      <c r="A304" s="46" t="str">
        <f>Source!E121</f>
        <v>26,1</v>
      </c>
      <c r="B304" s="47" t="str">
        <f>Source!F121</f>
        <v>20.4.01.01-0042</v>
      </c>
      <c r="C304" s="47" t="str">
        <f>Source!G121</f>
        <v>Выключатель одноклавишный для открытой проводки серии "Прима", марка А16-046 с подсветкой, цвет белый</v>
      </c>
      <c r="D304" s="33" t="str">
        <f>Source!H121</f>
        <v>10 шт.</v>
      </c>
      <c r="E304" s="34">
        <f>Source!I121</f>
        <v>0.6</v>
      </c>
      <c r="F304" s="35">
        <f>Source!AL121+Source!AM121+Source!AO121</f>
        <v>96.2</v>
      </c>
      <c r="G304" s="42" t="s">
        <v>3</v>
      </c>
      <c r="H304" s="35">
        <f>ROUND(Source!AC121*Source!I121, 2)+ROUND(Source!AD121*Source!I121, 2)+ROUND(Source!AF121*Source!I121, 2)</f>
        <v>57.72</v>
      </c>
      <c r="I304" s="36"/>
      <c r="J304" s="36">
        <f>IF(Source!BC121&lt;&gt; 0, Source!BC121, 1)</f>
        <v>6.61</v>
      </c>
      <c r="K304" s="35">
        <f>Source!O121</f>
        <v>381.53</v>
      </c>
      <c r="L304" s="43"/>
      <c r="S304">
        <f>ROUND((Source!FX121/100)*((ROUND(Source!AF121*Source!I121, 2)+ROUND(Source!AE121*Source!I121, 2))), 2)</f>
        <v>0</v>
      </c>
      <c r="T304">
        <f>Source!X121</f>
        <v>0</v>
      </c>
      <c r="U304">
        <f>ROUND((Source!FY121/100)*((ROUND(Source!AF121*Source!I121, 2)+ROUND(Source!AE121*Source!I121, 2))), 2)</f>
        <v>0</v>
      </c>
      <c r="V304">
        <f>Source!Y121</f>
        <v>0</v>
      </c>
      <c r="W304">
        <f>IF(Source!BI121&lt;=1,H304, 0)</f>
        <v>0</v>
      </c>
      <c r="X304">
        <f>IF(Source!BI121=2,H304, 0)</f>
        <v>57.72</v>
      </c>
      <c r="Y304">
        <f>IF(Source!BI121=3,H304, 0)</f>
        <v>0</v>
      </c>
      <c r="Z304">
        <f>IF(Source!BI121=4,H304, 0)</f>
        <v>0</v>
      </c>
    </row>
    <row r="305" spans="1:26" ht="15" x14ac:dyDescent="0.25">
      <c r="G305" s="68">
        <f>H297+H298+H300+H301+H302+SUM(H304:H304)</f>
        <v>113.32</v>
      </c>
      <c r="H305" s="68"/>
      <c r="J305" s="68">
        <f>K297+K298+K300+K301+K302+SUM(K304:K304)</f>
        <v>748.98</v>
      </c>
      <c r="K305" s="68"/>
      <c r="L305" s="38">
        <f>Source!U120</f>
        <v>1.8959999999999999</v>
      </c>
      <c r="O305" s="24">
        <f>G305</f>
        <v>113.32</v>
      </c>
      <c r="P305" s="24">
        <f>J305</f>
        <v>748.98</v>
      </c>
      <c r="Q305" s="24">
        <f>L305</f>
        <v>1.8959999999999999</v>
      </c>
      <c r="W305">
        <f>IF(Source!BI120&lt;=1,H297+H298+H300+H301+H302, 0)</f>
        <v>0</v>
      </c>
      <c r="X305">
        <f>IF(Source!BI120=2,H297+H298+H300+H301+H302, 0)</f>
        <v>55.599999999999994</v>
      </c>
      <c r="Y305">
        <f>IF(Source!BI120=3,H297+H298+H300+H301+H302, 0)</f>
        <v>0</v>
      </c>
      <c r="Z305">
        <f>IF(Source!BI120=4,H297+H298+H300+H301+H302, 0)</f>
        <v>0</v>
      </c>
    </row>
    <row r="306" spans="1:26" ht="28.5" x14ac:dyDescent="0.2">
      <c r="A306" s="44" t="str">
        <f>Source!E122</f>
        <v>27</v>
      </c>
      <c r="B306" s="45" t="str">
        <f>Source!F122</f>
        <v>м08-02-370-02</v>
      </c>
      <c r="C306" s="45" t="str">
        <f>Source!G122</f>
        <v>Щиток до трех групп, устанавливаемый в нише цоколя</v>
      </c>
      <c r="D306" s="28" t="str">
        <f>Source!H122</f>
        <v>ШТ</v>
      </c>
      <c r="E306" s="10">
        <f>Source!I122</f>
        <v>1</v>
      </c>
      <c r="F306" s="29">
        <f>Source!AL122+Source!AM122+Source!AO122</f>
        <v>33.42</v>
      </c>
      <c r="G306" s="30"/>
      <c r="H306" s="29"/>
      <c r="I306" s="30" t="str">
        <f>Source!BO122</f>
        <v/>
      </c>
      <c r="J306" s="30"/>
      <c r="K306" s="29"/>
      <c r="L306" s="31"/>
      <c r="S306">
        <f>ROUND((Source!FX122/100)*((ROUND(Source!AF122*Source!I122, 2)+ROUND(Source!AE122*Source!I122, 2))), 2)</f>
        <v>11.36</v>
      </c>
      <c r="T306">
        <f>Source!X122</f>
        <v>75.099999999999994</v>
      </c>
      <c r="U306">
        <f>ROUND((Source!FY122/100)*((ROUND(Source!AF122*Source!I122, 2)+ROUND(Source!AE122*Source!I122, 2))), 2)</f>
        <v>7.77</v>
      </c>
      <c r="V306">
        <f>Source!Y122</f>
        <v>51.38</v>
      </c>
    </row>
    <row r="307" spans="1:26" ht="14.25" x14ac:dyDescent="0.2">
      <c r="A307" s="44"/>
      <c r="B307" s="45"/>
      <c r="C307" s="45" t="s">
        <v>686</v>
      </c>
      <c r="D307" s="28"/>
      <c r="E307" s="10"/>
      <c r="F307" s="29">
        <f>Source!AO122</f>
        <v>9.4499999999999993</v>
      </c>
      <c r="G307" s="30" t="str">
        <f>Source!DG122</f>
        <v/>
      </c>
      <c r="H307" s="29">
        <f>ROUND(Source!AF122*Source!I122, 2)</f>
        <v>9.4499999999999993</v>
      </c>
      <c r="I307" s="30"/>
      <c r="J307" s="30">
        <f>IF(Source!BA122&lt;&gt; 0, Source!BA122, 1)</f>
        <v>6.61</v>
      </c>
      <c r="K307" s="29">
        <f>Source!S122</f>
        <v>62.46</v>
      </c>
      <c r="L307" s="31"/>
      <c r="R307">
        <f>H307</f>
        <v>9.4499999999999993</v>
      </c>
    </row>
    <row r="308" spans="1:26" ht="14.25" x14ac:dyDescent="0.2">
      <c r="A308" s="44"/>
      <c r="B308" s="45"/>
      <c r="C308" s="45" t="s">
        <v>222</v>
      </c>
      <c r="D308" s="28"/>
      <c r="E308" s="10"/>
      <c r="F308" s="29">
        <f>Source!AM122</f>
        <v>17.77</v>
      </c>
      <c r="G308" s="30" t="str">
        <f>Source!DE122</f>
        <v/>
      </c>
      <c r="H308" s="29">
        <f>ROUND(Source!AD122*Source!I122, 2)</f>
        <v>17.77</v>
      </c>
      <c r="I308" s="30"/>
      <c r="J308" s="30">
        <f>IF(Source!BB122&lt;&gt; 0, Source!BB122, 1)</f>
        <v>6.61</v>
      </c>
      <c r="K308" s="29">
        <f>Source!Q122</f>
        <v>117.46</v>
      </c>
      <c r="L308" s="31"/>
    </row>
    <row r="309" spans="1:26" ht="14.25" x14ac:dyDescent="0.2">
      <c r="A309" s="44"/>
      <c r="B309" s="45"/>
      <c r="C309" s="45" t="s">
        <v>692</v>
      </c>
      <c r="D309" s="28"/>
      <c r="E309" s="10"/>
      <c r="F309" s="29">
        <f>Source!AN122</f>
        <v>2.5099999999999998</v>
      </c>
      <c r="G309" s="30" t="str">
        <f>Source!DF122</f>
        <v/>
      </c>
      <c r="H309" s="39">
        <f>ROUND(Source!AE122*Source!I122, 2)</f>
        <v>2.5099999999999998</v>
      </c>
      <c r="I309" s="30"/>
      <c r="J309" s="30">
        <f>IF(Source!BS122&lt;&gt; 0, Source!BS122, 1)</f>
        <v>6.61</v>
      </c>
      <c r="K309" s="39">
        <f>Source!R122</f>
        <v>16.59</v>
      </c>
      <c r="L309" s="31"/>
      <c r="R309">
        <f>H309</f>
        <v>2.5099999999999998</v>
      </c>
    </row>
    <row r="310" spans="1:26" ht="14.25" x14ac:dyDescent="0.2">
      <c r="A310" s="44"/>
      <c r="B310" s="45"/>
      <c r="C310" s="45" t="s">
        <v>693</v>
      </c>
      <c r="D310" s="28"/>
      <c r="E310" s="10"/>
      <c r="F310" s="29">
        <f>Source!AL122</f>
        <v>6.2</v>
      </c>
      <c r="G310" s="30" t="str">
        <f>Source!DD122</f>
        <v/>
      </c>
      <c r="H310" s="29">
        <f>ROUND(Source!AC122*Source!I122, 2)</f>
        <v>6.2</v>
      </c>
      <c r="I310" s="30"/>
      <c r="J310" s="30">
        <f>IF(Source!BC122&lt;&gt; 0, Source!BC122, 1)</f>
        <v>6.61</v>
      </c>
      <c r="K310" s="29">
        <f>Source!P122</f>
        <v>40.98</v>
      </c>
      <c r="L310" s="31"/>
    </row>
    <row r="311" spans="1:26" ht="14.25" x14ac:dyDescent="0.2">
      <c r="A311" s="44"/>
      <c r="B311" s="45"/>
      <c r="C311" s="45" t="s">
        <v>687</v>
      </c>
      <c r="D311" s="28" t="s">
        <v>688</v>
      </c>
      <c r="E311" s="10">
        <f>Source!BZ122</f>
        <v>95</v>
      </c>
      <c r="F311" s="48"/>
      <c r="G311" s="30"/>
      <c r="H311" s="29">
        <f>SUM(S306:S314)</f>
        <v>11.36</v>
      </c>
      <c r="I311" s="32"/>
      <c r="J311" s="27">
        <f>Source!AT122</f>
        <v>95</v>
      </c>
      <c r="K311" s="29">
        <f>SUM(T306:T314)</f>
        <v>75.099999999999994</v>
      </c>
      <c r="L311" s="31"/>
    </row>
    <row r="312" spans="1:26" ht="14.25" x14ac:dyDescent="0.2">
      <c r="A312" s="44"/>
      <c r="B312" s="45"/>
      <c r="C312" s="45" t="s">
        <v>689</v>
      </c>
      <c r="D312" s="28" t="s">
        <v>688</v>
      </c>
      <c r="E312" s="10">
        <f>Source!CA122</f>
        <v>65</v>
      </c>
      <c r="F312" s="48"/>
      <c r="G312" s="30"/>
      <c r="H312" s="29">
        <f>SUM(U306:U314)</f>
        <v>7.77</v>
      </c>
      <c r="I312" s="32"/>
      <c r="J312" s="27">
        <f>Source!AU122</f>
        <v>65</v>
      </c>
      <c r="K312" s="29">
        <f>SUM(V306:V314)</f>
        <v>51.38</v>
      </c>
      <c r="L312" s="31"/>
    </row>
    <row r="313" spans="1:26" ht="14.25" x14ac:dyDescent="0.2">
      <c r="A313" s="44"/>
      <c r="B313" s="45"/>
      <c r="C313" s="45" t="s">
        <v>690</v>
      </c>
      <c r="D313" s="28" t="s">
        <v>691</v>
      </c>
      <c r="E313" s="10">
        <f>Source!AQ122</f>
        <v>0.9</v>
      </c>
      <c r="F313" s="29"/>
      <c r="G313" s="30" t="str">
        <f>Source!DI122</f>
        <v/>
      </c>
      <c r="H313" s="29"/>
      <c r="I313" s="30"/>
      <c r="J313" s="30"/>
      <c r="K313" s="29"/>
      <c r="L313" s="40">
        <f>Source!U122</f>
        <v>0.9</v>
      </c>
    </row>
    <row r="314" spans="1:26" ht="57" x14ac:dyDescent="0.2">
      <c r="A314" s="46" t="str">
        <f>Source!E123</f>
        <v>27,1</v>
      </c>
      <c r="B314" s="47" t="str">
        <f>Source!F123</f>
        <v>62.1.02.16-0013</v>
      </c>
      <c r="C314" s="47" t="str">
        <f>Source!G123</f>
        <v>Щитки навесные IEK ЩРН -18з-1 12 модулей ,IP 31 с клемником (АВВ) , с замком ,материал корпуса металлический (без счетчиков) прим.</v>
      </c>
      <c r="D314" s="33" t="str">
        <f>Source!H123</f>
        <v>шт.</v>
      </c>
      <c r="E314" s="34">
        <f>Source!I123</f>
        <v>1</v>
      </c>
      <c r="F314" s="35">
        <f>Source!AL123+Source!AM123+Source!AO123</f>
        <v>858.17</v>
      </c>
      <c r="G314" s="42" t="s">
        <v>3</v>
      </c>
      <c r="H314" s="35">
        <f>ROUND(Source!AC123*Source!I123, 2)+ROUND(Source!AD123*Source!I123, 2)+ROUND(Source!AF123*Source!I123, 2)</f>
        <v>858.17</v>
      </c>
      <c r="I314" s="36"/>
      <c r="J314" s="36">
        <f>IF(Source!BC123&lt;&gt; 0, Source!BC123, 1)</f>
        <v>6.61</v>
      </c>
      <c r="K314" s="35">
        <f>Source!O123</f>
        <v>5672.5</v>
      </c>
      <c r="L314" s="43"/>
      <c r="S314">
        <f>ROUND((Source!FX123/100)*((ROUND(Source!AF123*Source!I123, 2)+ROUND(Source!AE123*Source!I123, 2))), 2)</f>
        <v>0</v>
      </c>
      <c r="T314">
        <f>Source!X123</f>
        <v>0</v>
      </c>
      <c r="U314">
        <f>ROUND((Source!FY123/100)*((ROUND(Source!AF123*Source!I123, 2)+ROUND(Source!AE123*Source!I123, 2))), 2)</f>
        <v>0</v>
      </c>
      <c r="V314">
        <f>Source!Y123</f>
        <v>0</v>
      </c>
      <c r="W314">
        <f>IF(Source!BI123&lt;=1,H314, 0)</f>
        <v>0</v>
      </c>
      <c r="X314">
        <f>IF(Source!BI123=2,H314, 0)</f>
        <v>858.17</v>
      </c>
      <c r="Y314">
        <f>IF(Source!BI123=3,H314, 0)</f>
        <v>0</v>
      </c>
      <c r="Z314">
        <f>IF(Source!BI123=4,H314, 0)</f>
        <v>0</v>
      </c>
    </row>
    <row r="315" spans="1:26" ht="15" x14ac:dyDescent="0.25">
      <c r="G315" s="68">
        <f>H307+H308+H310+H311+H312+SUM(H314:H314)</f>
        <v>910.71999999999991</v>
      </c>
      <c r="H315" s="68"/>
      <c r="J315" s="68">
        <f>K307+K308+K310+K311+K312+SUM(K314:K314)</f>
        <v>6019.88</v>
      </c>
      <c r="K315" s="68"/>
      <c r="L315" s="38">
        <f>Source!U122</f>
        <v>0.9</v>
      </c>
      <c r="O315" s="24">
        <f>G315</f>
        <v>910.71999999999991</v>
      </c>
      <c r="P315" s="24">
        <f>J315</f>
        <v>6019.88</v>
      </c>
      <c r="Q315" s="24">
        <f>L315</f>
        <v>0.9</v>
      </c>
      <c r="W315">
        <f>IF(Source!BI122&lt;=1,H307+H308+H310+H311+H312, 0)</f>
        <v>0</v>
      </c>
      <c r="X315">
        <f>IF(Source!BI122=2,H307+H308+H310+H311+H312, 0)</f>
        <v>52.55</v>
      </c>
      <c r="Y315">
        <f>IF(Source!BI122=3,H307+H308+H310+H311+H312, 0)</f>
        <v>0</v>
      </c>
      <c r="Z315">
        <f>IF(Source!BI122=4,H307+H308+H310+H311+H312, 0)</f>
        <v>0</v>
      </c>
    </row>
    <row r="316" spans="1:26" ht="42.75" x14ac:dyDescent="0.2">
      <c r="A316" s="44" t="str">
        <f>Source!E124</f>
        <v>28</v>
      </c>
      <c r="B316" s="45" t="str">
        <f>Source!F124</f>
        <v>м08-03-526-01</v>
      </c>
      <c r="C316" s="45" t="str">
        <f>Source!G124</f>
        <v>Автомат одно-, двух-, трехполюсный, устанавливаемый на конструкции на стене или колонне, на ток до 25 А</v>
      </c>
      <c r="D316" s="28" t="str">
        <f>Source!H124</f>
        <v>ШТ</v>
      </c>
      <c r="E316" s="10">
        <f>Source!I124</f>
        <v>2</v>
      </c>
      <c r="F316" s="29">
        <f>Source!AL124+Source!AM124+Source!AO124</f>
        <v>35.980000000000004</v>
      </c>
      <c r="G316" s="30"/>
      <c r="H316" s="29"/>
      <c r="I316" s="30" t="str">
        <f>Source!BO124</f>
        <v/>
      </c>
      <c r="J316" s="30"/>
      <c r="K316" s="29"/>
      <c r="L316" s="31"/>
      <c r="S316">
        <f>ROUND((Source!FX124/100)*((ROUND(Source!AF124*Source!I124, 2)+ROUND(Source!AE124*Source!I124, 2))), 2)</f>
        <v>28.2</v>
      </c>
      <c r="T316">
        <f>Source!X124</f>
        <v>186.37</v>
      </c>
      <c r="U316">
        <f>ROUND((Source!FY124/100)*((ROUND(Source!AF124*Source!I124, 2)+ROUND(Source!AE124*Source!I124, 2))), 2)</f>
        <v>19.29</v>
      </c>
      <c r="V316">
        <f>Source!Y124</f>
        <v>127.52</v>
      </c>
    </row>
    <row r="317" spans="1:26" ht="14.25" x14ac:dyDescent="0.2">
      <c r="A317" s="44"/>
      <c r="B317" s="45"/>
      <c r="C317" s="45" t="s">
        <v>686</v>
      </c>
      <c r="D317" s="28"/>
      <c r="E317" s="10"/>
      <c r="F317" s="29">
        <f>Source!AO124</f>
        <v>14.84</v>
      </c>
      <c r="G317" s="30" t="str">
        <f>Source!DG124</f>
        <v/>
      </c>
      <c r="H317" s="29">
        <f>ROUND(Source!AF124*Source!I124, 2)</f>
        <v>29.68</v>
      </c>
      <c r="I317" s="30"/>
      <c r="J317" s="30">
        <f>IF(Source!BA124&lt;&gt; 0, Source!BA124, 1)</f>
        <v>6.61</v>
      </c>
      <c r="K317" s="29">
        <f>Source!S124</f>
        <v>196.18</v>
      </c>
      <c r="L317" s="31"/>
      <c r="R317">
        <f>H317</f>
        <v>29.68</v>
      </c>
    </row>
    <row r="318" spans="1:26" ht="14.25" x14ac:dyDescent="0.2">
      <c r="A318" s="44"/>
      <c r="B318" s="45"/>
      <c r="C318" s="45" t="s">
        <v>222</v>
      </c>
      <c r="D318" s="28"/>
      <c r="E318" s="10"/>
      <c r="F318" s="29">
        <f>Source!AM124</f>
        <v>1.05</v>
      </c>
      <c r="G318" s="30" t="str">
        <f>Source!DE124</f>
        <v/>
      </c>
      <c r="H318" s="29">
        <f>ROUND(Source!AD124*Source!I124, 2)</f>
        <v>2.1</v>
      </c>
      <c r="I318" s="30"/>
      <c r="J318" s="30">
        <f>IF(Source!BB124&lt;&gt; 0, Source!BB124, 1)</f>
        <v>6.61</v>
      </c>
      <c r="K318" s="29">
        <f>Source!Q124</f>
        <v>13.88</v>
      </c>
      <c r="L318" s="31"/>
    </row>
    <row r="319" spans="1:26" ht="14.25" x14ac:dyDescent="0.2">
      <c r="A319" s="44"/>
      <c r="B319" s="45"/>
      <c r="C319" s="45" t="s">
        <v>693</v>
      </c>
      <c r="D319" s="28"/>
      <c r="E319" s="10"/>
      <c r="F319" s="29">
        <f>Source!AL124</f>
        <v>20.09</v>
      </c>
      <c r="G319" s="30" t="str">
        <f>Source!DD124</f>
        <v/>
      </c>
      <c r="H319" s="29">
        <f>ROUND(Source!AC124*Source!I124, 2)</f>
        <v>40.18</v>
      </c>
      <c r="I319" s="30"/>
      <c r="J319" s="30">
        <f>IF(Source!BC124&lt;&gt; 0, Source!BC124, 1)</f>
        <v>6.61</v>
      </c>
      <c r="K319" s="29">
        <f>Source!P124</f>
        <v>265.58999999999997</v>
      </c>
      <c r="L319" s="31"/>
    </row>
    <row r="320" spans="1:26" ht="14.25" x14ac:dyDescent="0.2">
      <c r="A320" s="44"/>
      <c r="B320" s="45"/>
      <c r="C320" s="45" t="s">
        <v>687</v>
      </c>
      <c r="D320" s="28" t="s">
        <v>688</v>
      </c>
      <c r="E320" s="10">
        <f>Source!BZ124</f>
        <v>95</v>
      </c>
      <c r="F320" s="48"/>
      <c r="G320" s="30"/>
      <c r="H320" s="29">
        <f>SUM(S316:S323)</f>
        <v>28.2</v>
      </c>
      <c r="I320" s="32"/>
      <c r="J320" s="27">
        <f>Source!AT124</f>
        <v>95</v>
      </c>
      <c r="K320" s="29">
        <f>SUM(T316:T323)</f>
        <v>186.37</v>
      </c>
      <c r="L320" s="31"/>
    </row>
    <row r="321" spans="1:26" ht="14.25" x14ac:dyDescent="0.2">
      <c r="A321" s="44"/>
      <c r="B321" s="45"/>
      <c r="C321" s="45" t="s">
        <v>689</v>
      </c>
      <c r="D321" s="28" t="s">
        <v>688</v>
      </c>
      <c r="E321" s="10">
        <f>Source!CA124</f>
        <v>65</v>
      </c>
      <c r="F321" s="48"/>
      <c r="G321" s="30"/>
      <c r="H321" s="29">
        <f>SUM(U316:U323)</f>
        <v>19.29</v>
      </c>
      <c r="I321" s="32"/>
      <c r="J321" s="27">
        <f>Source!AU124</f>
        <v>65</v>
      </c>
      <c r="K321" s="29">
        <f>SUM(V316:V323)</f>
        <v>127.52</v>
      </c>
      <c r="L321" s="31"/>
    </row>
    <row r="322" spans="1:26" ht="14.25" x14ac:dyDescent="0.2">
      <c r="A322" s="44"/>
      <c r="B322" s="45"/>
      <c r="C322" s="45" t="s">
        <v>690</v>
      </c>
      <c r="D322" s="28" t="s">
        <v>691</v>
      </c>
      <c r="E322" s="10">
        <f>Source!AQ124</f>
        <v>1.56</v>
      </c>
      <c r="F322" s="29"/>
      <c r="G322" s="30" t="str">
        <f>Source!DI124</f>
        <v/>
      </c>
      <c r="H322" s="29"/>
      <c r="I322" s="30"/>
      <c r="J322" s="30"/>
      <c r="K322" s="29"/>
      <c r="L322" s="40">
        <f>Source!U124</f>
        <v>3.12</v>
      </c>
    </row>
    <row r="323" spans="1:26" ht="28.5" x14ac:dyDescent="0.2">
      <c r="A323" s="46" t="str">
        <f>Source!E125</f>
        <v>28,1</v>
      </c>
      <c r="B323" s="47" t="str">
        <f>Source!F125</f>
        <v>62.1.01.09-0090</v>
      </c>
      <c r="C323" s="47" t="str">
        <f>Source!G125</f>
        <v>Выключатели автоматические «АВВ" 3Р 20А прим.</v>
      </c>
      <c r="D323" s="33" t="str">
        <f>Source!H125</f>
        <v>шт.</v>
      </c>
      <c r="E323" s="34">
        <f>Source!I125</f>
        <v>2</v>
      </c>
      <c r="F323" s="35">
        <f>Source!AL125+Source!AM125+Source!AO125</f>
        <v>159.06</v>
      </c>
      <c r="G323" s="42" t="s">
        <v>3</v>
      </c>
      <c r="H323" s="35">
        <f>ROUND(Source!AC125*Source!I125, 2)+ROUND(Source!AD125*Source!I125, 2)+ROUND(Source!AF125*Source!I125, 2)</f>
        <v>318.12</v>
      </c>
      <c r="I323" s="36"/>
      <c r="J323" s="36">
        <f>IF(Source!BC125&lt;&gt; 0, Source!BC125, 1)</f>
        <v>6.61</v>
      </c>
      <c r="K323" s="35">
        <f>Source!O125</f>
        <v>2102.77</v>
      </c>
      <c r="L323" s="43"/>
      <c r="S323">
        <f>ROUND((Source!FX125/100)*((ROUND(Source!AF125*Source!I125, 2)+ROUND(Source!AE125*Source!I125, 2))), 2)</f>
        <v>0</v>
      </c>
      <c r="T323">
        <f>Source!X125</f>
        <v>0</v>
      </c>
      <c r="U323">
        <f>ROUND((Source!FY125/100)*((ROUND(Source!AF125*Source!I125, 2)+ROUND(Source!AE125*Source!I125, 2))), 2)</f>
        <v>0</v>
      </c>
      <c r="V323">
        <f>Source!Y125</f>
        <v>0</v>
      </c>
      <c r="W323">
        <f>IF(Source!BI125&lt;=1,H323, 0)</f>
        <v>0</v>
      </c>
      <c r="X323">
        <f>IF(Source!BI125=2,H323, 0)</f>
        <v>318.12</v>
      </c>
      <c r="Y323">
        <f>IF(Source!BI125=3,H323, 0)</f>
        <v>0</v>
      </c>
      <c r="Z323">
        <f>IF(Source!BI125=4,H323, 0)</f>
        <v>0</v>
      </c>
    </row>
    <row r="324" spans="1:26" ht="15" x14ac:dyDescent="0.25">
      <c r="G324" s="68">
        <f>H317+H318+H319+H320+H321+SUM(H323:H323)</f>
        <v>437.57000000000005</v>
      </c>
      <c r="H324" s="68"/>
      <c r="J324" s="68">
        <f>K317+K318+K319+K320+K321+SUM(K323:K323)</f>
        <v>2892.31</v>
      </c>
      <c r="K324" s="68"/>
      <c r="L324" s="38">
        <f>Source!U124</f>
        <v>3.12</v>
      </c>
      <c r="O324" s="24">
        <f>G324</f>
        <v>437.57000000000005</v>
      </c>
      <c r="P324" s="24">
        <f>J324</f>
        <v>2892.31</v>
      </c>
      <c r="Q324" s="24">
        <f>L324</f>
        <v>3.12</v>
      </c>
      <c r="W324">
        <f>IF(Source!BI124&lt;=1,H317+H318+H319+H320+H321, 0)</f>
        <v>0</v>
      </c>
      <c r="X324">
        <f>IF(Source!BI124=2,H317+H318+H319+H320+H321, 0)</f>
        <v>119.45000000000002</v>
      </c>
      <c r="Y324">
        <f>IF(Source!BI124=3,H317+H318+H319+H320+H321, 0)</f>
        <v>0</v>
      </c>
      <c r="Z324">
        <f>IF(Source!BI124=4,H317+H318+H319+H320+H321, 0)</f>
        <v>0</v>
      </c>
    </row>
    <row r="325" spans="1:26" ht="14.25" x14ac:dyDescent="0.2">
      <c r="A325" s="44" t="str">
        <f>Source!E126</f>
        <v>29</v>
      </c>
      <c r="B325" s="45" t="str">
        <f>Source!F126</f>
        <v>м08-03-575-01</v>
      </c>
      <c r="C325" s="45" t="str">
        <f>Source!G126</f>
        <v>Прибор или аппарат</v>
      </c>
      <c r="D325" s="28" t="str">
        <f>Source!H126</f>
        <v>ШТ</v>
      </c>
      <c r="E325" s="10">
        <f>Source!I126</f>
        <v>1</v>
      </c>
      <c r="F325" s="29">
        <f>Source!AL126+Source!AM126+Source!AO126</f>
        <v>11.51</v>
      </c>
      <c r="G325" s="30"/>
      <c r="H325" s="29"/>
      <c r="I325" s="30" t="str">
        <f>Source!BO126</f>
        <v/>
      </c>
      <c r="J325" s="30"/>
      <c r="K325" s="29"/>
      <c r="L325" s="31"/>
      <c r="S325">
        <f>ROUND((Source!FX126/100)*((ROUND(Source!AF126*Source!I126, 2)+ROUND(Source!AE126*Source!I126, 2))), 2)</f>
        <v>10.55</v>
      </c>
      <c r="T325">
        <f>Source!X126</f>
        <v>69.77</v>
      </c>
      <c r="U325">
        <f>ROUND((Source!FY126/100)*((ROUND(Source!AF126*Source!I126, 2)+ROUND(Source!AE126*Source!I126, 2))), 2)</f>
        <v>7.22</v>
      </c>
      <c r="V325">
        <f>Source!Y126</f>
        <v>47.74</v>
      </c>
    </row>
    <row r="326" spans="1:26" ht="14.25" x14ac:dyDescent="0.2">
      <c r="A326" s="44"/>
      <c r="B326" s="45"/>
      <c r="C326" s="45" t="s">
        <v>686</v>
      </c>
      <c r="D326" s="28"/>
      <c r="E326" s="10"/>
      <c r="F326" s="29">
        <f>Source!AO126</f>
        <v>11.11</v>
      </c>
      <c r="G326" s="30" t="str">
        <f>Source!DG126</f>
        <v/>
      </c>
      <c r="H326" s="29">
        <f>ROUND(Source!AF126*Source!I126, 2)</f>
        <v>11.11</v>
      </c>
      <c r="I326" s="30"/>
      <c r="J326" s="30">
        <f>IF(Source!BA126&lt;&gt; 0, Source!BA126, 1)</f>
        <v>6.61</v>
      </c>
      <c r="K326" s="29">
        <f>Source!S126</f>
        <v>73.44</v>
      </c>
      <c r="L326" s="31"/>
      <c r="R326">
        <f>H326</f>
        <v>11.11</v>
      </c>
    </row>
    <row r="327" spans="1:26" ht="14.25" x14ac:dyDescent="0.2">
      <c r="A327" s="44"/>
      <c r="B327" s="45"/>
      <c r="C327" s="45" t="s">
        <v>693</v>
      </c>
      <c r="D327" s="28"/>
      <c r="E327" s="10"/>
      <c r="F327" s="29">
        <f>Source!AL126</f>
        <v>0.4</v>
      </c>
      <c r="G327" s="30" t="str">
        <f>Source!DD126</f>
        <v/>
      </c>
      <c r="H327" s="29">
        <f>ROUND(Source!AC126*Source!I126, 2)</f>
        <v>0.4</v>
      </c>
      <c r="I327" s="30"/>
      <c r="J327" s="30">
        <f>IF(Source!BC126&lt;&gt; 0, Source!BC126, 1)</f>
        <v>6.61</v>
      </c>
      <c r="K327" s="29">
        <f>Source!P126</f>
        <v>2.64</v>
      </c>
      <c r="L327" s="31"/>
    </row>
    <row r="328" spans="1:26" ht="14.25" x14ac:dyDescent="0.2">
      <c r="A328" s="44"/>
      <c r="B328" s="45"/>
      <c r="C328" s="45" t="s">
        <v>687</v>
      </c>
      <c r="D328" s="28" t="s">
        <v>688</v>
      </c>
      <c r="E328" s="10">
        <f>Source!BZ126</f>
        <v>95</v>
      </c>
      <c r="F328" s="48"/>
      <c r="G328" s="30"/>
      <c r="H328" s="29">
        <f>SUM(S325:S331)</f>
        <v>10.55</v>
      </c>
      <c r="I328" s="32"/>
      <c r="J328" s="27">
        <f>Source!AT126</f>
        <v>95</v>
      </c>
      <c r="K328" s="29">
        <f>SUM(T325:T331)</f>
        <v>69.77</v>
      </c>
      <c r="L328" s="31"/>
    </row>
    <row r="329" spans="1:26" ht="14.25" x14ac:dyDescent="0.2">
      <c r="A329" s="44"/>
      <c r="B329" s="45"/>
      <c r="C329" s="45" t="s">
        <v>689</v>
      </c>
      <c r="D329" s="28" t="s">
        <v>688</v>
      </c>
      <c r="E329" s="10">
        <f>Source!CA126</f>
        <v>65</v>
      </c>
      <c r="F329" s="48"/>
      <c r="G329" s="30"/>
      <c r="H329" s="29">
        <f>SUM(U325:U331)</f>
        <v>7.22</v>
      </c>
      <c r="I329" s="32"/>
      <c r="J329" s="27">
        <f>Source!AU126</f>
        <v>65</v>
      </c>
      <c r="K329" s="29">
        <f>SUM(V325:V331)</f>
        <v>47.74</v>
      </c>
      <c r="L329" s="31"/>
    </row>
    <row r="330" spans="1:26" ht="14.25" x14ac:dyDescent="0.2">
      <c r="A330" s="44"/>
      <c r="B330" s="45"/>
      <c r="C330" s="45" t="s">
        <v>690</v>
      </c>
      <c r="D330" s="28" t="s">
        <v>691</v>
      </c>
      <c r="E330" s="10">
        <f>Source!AQ126</f>
        <v>1.1200000000000001</v>
      </c>
      <c r="F330" s="29"/>
      <c r="G330" s="30" t="str">
        <f>Source!DI126</f>
        <v/>
      </c>
      <c r="H330" s="29"/>
      <c r="I330" s="30"/>
      <c r="J330" s="30"/>
      <c r="K330" s="29"/>
      <c r="L330" s="40">
        <f>Source!U126</f>
        <v>1.1200000000000001</v>
      </c>
    </row>
    <row r="331" spans="1:26" ht="28.5" x14ac:dyDescent="0.2">
      <c r="A331" s="46" t="str">
        <f>Source!E127</f>
        <v>29,1</v>
      </c>
      <c r="B331" s="47" t="str">
        <f>Source!F127</f>
        <v>62.1.01.09-0093</v>
      </c>
      <c r="C331" s="47" t="str">
        <f>Source!G127</f>
        <v>Выключатели автоматические «АВВ»  3Р 40А</v>
      </c>
      <c r="D331" s="33" t="str">
        <f>Source!H127</f>
        <v>шт.</v>
      </c>
      <c r="E331" s="34">
        <f>Source!I127</f>
        <v>1</v>
      </c>
      <c r="F331" s="35">
        <f>Source!AL127+Source!AM127+Source!AO127</f>
        <v>184.14</v>
      </c>
      <c r="G331" s="42" t="s">
        <v>3</v>
      </c>
      <c r="H331" s="35">
        <f>ROUND(Source!AC127*Source!I127, 2)+ROUND(Source!AD127*Source!I127, 2)+ROUND(Source!AF127*Source!I127, 2)</f>
        <v>184.14</v>
      </c>
      <c r="I331" s="36"/>
      <c r="J331" s="36">
        <f>IF(Source!BC127&lt;&gt; 0, Source!BC127, 1)</f>
        <v>6.61</v>
      </c>
      <c r="K331" s="35">
        <f>Source!O127</f>
        <v>1217.17</v>
      </c>
      <c r="L331" s="43"/>
      <c r="S331">
        <f>ROUND((Source!FX127/100)*((ROUND(Source!AF127*Source!I127, 2)+ROUND(Source!AE127*Source!I127, 2))), 2)</f>
        <v>0</v>
      </c>
      <c r="T331">
        <f>Source!X127</f>
        <v>0</v>
      </c>
      <c r="U331">
        <f>ROUND((Source!FY127/100)*((ROUND(Source!AF127*Source!I127, 2)+ROUND(Source!AE127*Source!I127, 2))), 2)</f>
        <v>0</v>
      </c>
      <c r="V331">
        <f>Source!Y127</f>
        <v>0</v>
      </c>
      <c r="W331">
        <f>IF(Source!BI127&lt;=1,H331, 0)</f>
        <v>0</v>
      </c>
      <c r="X331">
        <f>IF(Source!BI127=2,H331, 0)</f>
        <v>184.14</v>
      </c>
      <c r="Y331">
        <f>IF(Source!BI127=3,H331, 0)</f>
        <v>0</v>
      </c>
      <c r="Z331">
        <f>IF(Source!BI127=4,H331, 0)</f>
        <v>0</v>
      </c>
    </row>
    <row r="332" spans="1:26" ht="15" x14ac:dyDescent="0.25">
      <c r="G332" s="68">
        <f>H326+H327+H328+H329+SUM(H331:H331)</f>
        <v>213.42</v>
      </c>
      <c r="H332" s="68"/>
      <c r="J332" s="68">
        <f>K326+K327+K328+K329+SUM(K331:K331)</f>
        <v>1410.76</v>
      </c>
      <c r="K332" s="68"/>
      <c r="L332" s="38">
        <f>Source!U126</f>
        <v>1.1200000000000001</v>
      </c>
      <c r="O332" s="24">
        <f>G332</f>
        <v>213.42</v>
      </c>
      <c r="P332" s="24">
        <f>J332</f>
        <v>1410.76</v>
      </c>
      <c r="Q332" s="24">
        <f>L332</f>
        <v>1.1200000000000001</v>
      </c>
      <c r="W332">
        <f>IF(Source!BI126&lt;=1,H326+H327+H328+H329, 0)</f>
        <v>0</v>
      </c>
      <c r="X332">
        <f>IF(Source!BI126=2,H326+H327+H328+H329, 0)</f>
        <v>29.28</v>
      </c>
      <c r="Y332">
        <f>IF(Source!BI126=3,H326+H327+H328+H329, 0)</f>
        <v>0</v>
      </c>
      <c r="Z332">
        <f>IF(Source!BI126=4,H326+H327+H328+H329, 0)</f>
        <v>0</v>
      </c>
    </row>
    <row r="333" spans="1:26" ht="42.75" x14ac:dyDescent="0.2">
      <c r="A333" s="44" t="str">
        <f>Source!E128</f>
        <v>30</v>
      </c>
      <c r="B333" s="45" t="str">
        <f>Source!F128</f>
        <v>м08-01-080-03</v>
      </c>
      <c r="C333" s="45" t="str">
        <f>Source!G128</f>
        <v>Прибор измерения и защиты, количество подключаемых концов до 12</v>
      </c>
      <c r="D333" s="28" t="str">
        <f>Source!H128</f>
        <v>ШТ</v>
      </c>
      <c r="E333" s="10">
        <f>Source!I128</f>
        <v>1</v>
      </c>
      <c r="F333" s="29">
        <f>Source!AL128+Source!AM128+Source!AO128</f>
        <v>36.659999999999997</v>
      </c>
      <c r="G333" s="30"/>
      <c r="H333" s="29"/>
      <c r="I333" s="30" t="str">
        <f>Source!BO128</f>
        <v/>
      </c>
      <c r="J333" s="30"/>
      <c r="K333" s="29"/>
      <c r="L333" s="31"/>
      <c r="S333">
        <f>ROUND((Source!FX128/100)*((ROUND(Source!AF128*Source!I128, 2)+ROUND(Source!AE128*Source!I128, 2))), 2)</f>
        <v>22.48</v>
      </c>
      <c r="T333">
        <f>Source!X128</f>
        <v>148.58000000000001</v>
      </c>
      <c r="U333">
        <f>ROUND((Source!FY128/100)*((ROUND(Source!AF128*Source!I128, 2)+ROUND(Source!AE128*Source!I128, 2))), 2)</f>
        <v>15.38</v>
      </c>
      <c r="V333">
        <f>Source!Y128</f>
        <v>101.66</v>
      </c>
    </row>
    <row r="334" spans="1:26" ht="14.25" x14ac:dyDescent="0.2">
      <c r="A334" s="44"/>
      <c r="B334" s="45"/>
      <c r="C334" s="45" t="s">
        <v>686</v>
      </c>
      <c r="D334" s="28"/>
      <c r="E334" s="10"/>
      <c r="F334" s="29">
        <f>Source!AO128</f>
        <v>21.65</v>
      </c>
      <c r="G334" s="30" t="str">
        <f>Source!DG128</f>
        <v/>
      </c>
      <c r="H334" s="29">
        <f>ROUND(Source!AF128*Source!I128, 2)</f>
        <v>21.65</v>
      </c>
      <c r="I334" s="30"/>
      <c r="J334" s="30">
        <f>IF(Source!BA128&lt;&gt; 0, Source!BA128, 1)</f>
        <v>6.61</v>
      </c>
      <c r="K334" s="29">
        <f>Source!S128</f>
        <v>143.11000000000001</v>
      </c>
      <c r="L334" s="31"/>
      <c r="R334">
        <f>H334</f>
        <v>21.65</v>
      </c>
    </row>
    <row r="335" spans="1:26" ht="14.25" x14ac:dyDescent="0.2">
      <c r="A335" s="44"/>
      <c r="B335" s="45"/>
      <c r="C335" s="45" t="s">
        <v>222</v>
      </c>
      <c r="D335" s="28"/>
      <c r="E335" s="10"/>
      <c r="F335" s="29">
        <f>Source!AM128</f>
        <v>14.22</v>
      </c>
      <c r="G335" s="30" t="str">
        <f>Source!DE128</f>
        <v/>
      </c>
      <c r="H335" s="29">
        <f>ROUND(Source!AD128*Source!I128, 2)</f>
        <v>14.22</v>
      </c>
      <c r="I335" s="30"/>
      <c r="J335" s="30">
        <f>IF(Source!BB128&lt;&gt; 0, Source!BB128, 1)</f>
        <v>6.61</v>
      </c>
      <c r="K335" s="29">
        <f>Source!Q128</f>
        <v>93.99</v>
      </c>
      <c r="L335" s="31"/>
    </row>
    <row r="336" spans="1:26" ht="14.25" x14ac:dyDescent="0.2">
      <c r="A336" s="44"/>
      <c r="B336" s="45"/>
      <c r="C336" s="45" t="s">
        <v>692</v>
      </c>
      <c r="D336" s="28"/>
      <c r="E336" s="10"/>
      <c r="F336" s="29">
        <f>Source!AN128</f>
        <v>2.0099999999999998</v>
      </c>
      <c r="G336" s="30" t="str">
        <f>Source!DF128</f>
        <v/>
      </c>
      <c r="H336" s="39">
        <f>ROUND(Source!AE128*Source!I128, 2)</f>
        <v>2.0099999999999998</v>
      </c>
      <c r="I336" s="30"/>
      <c r="J336" s="30">
        <f>IF(Source!BS128&lt;&gt; 0, Source!BS128, 1)</f>
        <v>6.61</v>
      </c>
      <c r="K336" s="39">
        <f>Source!R128</f>
        <v>13.29</v>
      </c>
      <c r="L336" s="31"/>
      <c r="R336">
        <f>H336</f>
        <v>2.0099999999999998</v>
      </c>
    </row>
    <row r="337" spans="1:26" ht="14.25" x14ac:dyDescent="0.2">
      <c r="A337" s="44"/>
      <c r="B337" s="45"/>
      <c r="C337" s="45" t="s">
        <v>693</v>
      </c>
      <c r="D337" s="28"/>
      <c r="E337" s="10"/>
      <c r="F337" s="29">
        <f>Source!AL128</f>
        <v>0.79</v>
      </c>
      <c r="G337" s="30" t="str">
        <f>Source!DD128</f>
        <v/>
      </c>
      <c r="H337" s="29">
        <f>ROUND(Source!AC128*Source!I128, 2)</f>
        <v>0.79</v>
      </c>
      <c r="I337" s="30"/>
      <c r="J337" s="30">
        <f>IF(Source!BC128&lt;&gt; 0, Source!BC128, 1)</f>
        <v>6.61</v>
      </c>
      <c r="K337" s="29">
        <f>Source!P128</f>
        <v>5.22</v>
      </c>
      <c r="L337" s="31"/>
    </row>
    <row r="338" spans="1:26" ht="14.25" x14ac:dyDescent="0.2">
      <c r="A338" s="44"/>
      <c r="B338" s="45"/>
      <c r="C338" s="45" t="s">
        <v>687</v>
      </c>
      <c r="D338" s="28" t="s">
        <v>688</v>
      </c>
      <c r="E338" s="10">
        <f>Source!BZ128</f>
        <v>95</v>
      </c>
      <c r="F338" s="48"/>
      <c r="G338" s="30"/>
      <c r="H338" s="29">
        <f>SUM(S333:S341)</f>
        <v>22.48</v>
      </c>
      <c r="I338" s="32"/>
      <c r="J338" s="27">
        <f>Source!AT128</f>
        <v>95</v>
      </c>
      <c r="K338" s="29">
        <f>SUM(T333:T341)</f>
        <v>148.58000000000001</v>
      </c>
      <c r="L338" s="31"/>
    </row>
    <row r="339" spans="1:26" ht="14.25" x14ac:dyDescent="0.2">
      <c r="A339" s="44"/>
      <c r="B339" s="45"/>
      <c r="C339" s="45" t="s">
        <v>689</v>
      </c>
      <c r="D339" s="28" t="s">
        <v>688</v>
      </c>
      <c r="E339" s="10">
        <f>Source!CA128</f>
        <v>65</v>
      </c>
      <c r="F339" s="48"/>
      <c r="G339" s="30"/>
      <c r="H339" s="29">
        <f>SUM(U333:U341)</f>
        <v>15.38</v>
      </c>
      <c r="I339" s="32"/>
      <c r="J339" s="27">
        <f>Source!AU128</f>
        <v>65</v>
      </c>
      <c r="K339" s="29">
        <f>SUM(V333:V341)</f>
        <v>101.66</v>
      </c>
      <c r="L339" s="31"/>
    </row>
    <row r="340" spans="1:26" ht="14.25" x14ac:dyDescent="0.2">
      <c r="A340" s="44"/>
      <c r="B340" s="45"/>
      <c r="C340" s="45" t="s">
        <v>690</v>
      </c>
      <c r="D340" s="28" t="s">
        <v>691</v>
      </c>
      <c r="E340" s="10">
        <f>Source!AQ128</f>
        <v>2.25</v>
      </c>
      <c r="F340" s="29"/>
      <c r="G340" s="30" t="str">
        <f>Source!DI128</f>
        <v/>
      </c>
      <c r="H340" s="29"/>
      <c r="I340" s="30"/>
      <c r="J340" s="30"/>
      <c r="K340" s="29"/>
      <c r="L340" s="40">
        <f>Source!U128</f>
        <v>2.25</v>
      </c>
    </row>
    <row r="341" spans="1:26" ht="42.75" x14ac:dyDescent="0.2">
      <c r="A341" s="46" t="str">
        <f>Source!E129</f>
        <v>30,1</v>
      </c>
      <c r="B341" s="47" t="str">
        <f>Source!F129</f>
        <v>62.1.05.03-0002</v>
      </c>
      <c r="C341" s="47" t="str">
        <f>Source!G129</f>
        <v>Устройства защитного отключения «IEK» УЗО ВД1-63 2Р 16-40А, ток утечки 100 мА</v>
      </c>
      <c r="D341" s="33" t="str">
        <f>Source!H129</f>
        <v>шт.</v>
      </c>
      <c r="E341" s="34">
        <f>Source!I129</f>
        <v>1</v>
      </c>
      <c r="F341" s="35">
        <f>Source!AL129+Source!AM129+Source!AO129</f>
        <v>238.88</v>
      </c>
      <c r="G341" s="42" t="s">
        <v>3</v>
      </c>
      <c r="H341" s="35">
        <f>ROUND(Source!AC129*Source!I129, 2)+ROUND(Source!AD129*Source!I129, 2)+ROUND(Source!AF129*Source!I129, 2)</f>
        <v>238.88</v>
      </c>
      <c r="I341" s="36"/>
      <c r="J341" s="36">
        <f>IF(Source!BC129&lt;&gt; 0, Source!BC129, 1)</f>
        <v>6.61</v>
      </c>
      <c r="K341" s="35">
        <f>Source!O129</f>
        <v>1579</v>
      </c>
      <c r="L341" s="43"/>
      <c r="S341">
        <f>ROUND((Source!FX129/100)*((ROUND(Source!AF129*Source!I129, 2)+ROUND(Source!AE129*Source!I129, 2))), 2)</f>
        <v>0</v>
      </c>
      <c r="T341">
        <f>Source!X129</f>
        <v>0</v>
      </c>
      <c r="U341">
        <f>ROUND((Source!FY129/100)*((ROUND(Source!AF129*Source!I129, 2)+ROUND(Source!AE129*Source!I129, 2))), 2)</f>
        <v>0</v>
      </c>
      <c r="V341">
        <f>Source!Y129</f>
        <v>0</v>
      </c>
      <c r="W341">
        <f>IF(Source!BI129&lt;=1,H341, 0)</f>
        <v>0</v>
      </c>
      <c r="X341">
        <f>IF(Source!BI129=2,H341, 0)</f>
        <v>238.88</v>
      </c>
      <c r="Y341">
        <f>IF(Source!BI129=3,H341, 0)</f>
        <v>0</v>
      </c>
      <c r="Z341">
        <f>IF(Source!BI129=4,H341, 0)</f>
        <v>0</v>
      </c>
    </row>
    <row r="342" spans="1:26" ht="15" x14ac:dyDescent="0.25">
      <c r="G342" s="68">
        <f>H334+H335+H337+H338+H339+SUM(H341:H341)</f>
        <v>313.39999999999998</v>
      </c>
      <c r="H342" s="68"/>
      <c r="J342" s="68">
        <f>K334+K335+K337+K338+K339+SUM(K341:K341)</f>
        <v>2071.56</v>
      </c>
      <c r="K342" s="68"/>
      <c r="L342" s="38">
        <f>Source!U128</f>
        <v>2.25</v>
      </c>
      <c r="O342" s="24">
        <f>G342</f>
        <v>313.39999999999998</v>
      </c>
      <c r="P342" s="24">
        <f>J342</f>
        <v>2071.56</v>
      </c>
      <c r="Q342" s="24">
        <f>L342</f>
        <v>2.25</v>
      </c>
      <c r="W342">
        <f>IF(Source!BI128&lt;=1,H334+H335+H337+H338+H339, 0)</f>
        <v>0</v>
      </c>
      <c r="X342">
        <f>IF(Source!BI128=2,H334+H335+H337+H338+H339, 0)</f>
        <v>74.52</v>
      </c>
      <c r="Y342">
        <f>IF(Source!BI128=3,H334+H335+H337+H338+H339, 0)</f>
        <v>0</v>
      </c>
      <c r="Z342">
        <f>IF(Source!BI128=4,H334+H335+H337+H338+H339, 0)</f>
        <v>0</v>
      </c>
    </row>
    <row r="343" spans="1:26" ht="15" x14ac:dyDescent="0.25">
      <c r="A343" s="66" t="str">
        <f>CONCATENATE("Итого по разделу: ",IF(Source!G131&lt;&gt;"Новый раздел", Source!G131, ""))</f>
        <v>Итого по разделу: 2 Система электроснабжения</v>
      </c>
      <c r="B343" s="66"/>
      <c r="C343" s="66"/>
      <c r="D343" s="66"/>
      <c r="E343" s="66"/>
      <c r="F343" s="66"/>
      <c r="G343" s="67">
        <f>SUM(O206:O342)</f>
        <v>20581.34</v>
      </c>
      <c r="H343" s="67"/>
      <c r="I343" s="26"/>
      <c r="J343" s="67">
        <f>SUM(P206:P342)</f>
        <v>136042.55000000002</v>
      </c>
      <c r="K343" s="67"/>
      <c r="L343" s="38">
        <f>SUM(Q206:Q342)</f>
        <v>77.084700000000012</v>
      </c>
    </row>
    <row r="344" spans="1:26" ht="16.5" x14ac:dyDescent="0.25">
      <c r="A344" s="71" t="str">
        <f>CONCATENATE("Раздел: ",IF(Source!G160&lt;&gt;"Новый раздел", Source!G160, ""))</f>
        <v>Раздел: 3 Уборка и вывоз мусора</v>
      </c>
      <c r="B344" s="71"/>
      <c r="C344" s="71"/>
      <c r="D344" s="71"/>
      <c r="E344" s="71"/>
      <c r="F344" s="71"/>
      <c r="G344" s="71"/>
      <c r="H344" s="71"/>
      <c r="I344" s="71"/>
      <c r="J344" s="71"/>
      <c r="K344" s="71"/>
      <c r="L344" s="71"/>
    </row>
    <row r="345" spans="1:26" ht="28.5" x14ac:dyDescent="0.2">
      <c r="A345" s="44" t="str">
        <f>Source!E164</f>
        <v>31</v>
      </c>
      <c r="B345" s="45" t="str">
        <f>Source!F164</f>
        <v>69-15-1</v>
      </c>
      <c r="C345" s="45" t="str">
        <f>Source!G164</f>
        <v>Затаривание строительного мусора в мешки</v>
      </c>
      <c r="D345" s="28" t="str">
        <f>Source!H164</f>
        <v>т</v>
      </c>
      <c r="E345" s="10">
        <f>Source!I164</f>
        <v>12.34</v>
      </c>
      <c r="F345" s="29">
        <f>Source!AL164+Source!AM164+Source!AO164</f>
        <v>23.81</v>
      </c>
      <c r="G345" s="30"/>
      <c r="H345" s="29"/>
      <c r="I345" s="30" t="str">
        <f>Source!BO164</f>
        <v/>
      </c>
      <c r="J345" s="30"/>
      <c r="K345" s="29"/>
      <c r="L345" s="31"/>
      <c r="S345">
        <f>ROUND((Source!FX164/100)*((ROUND(Source!AF164*Source!I164, 2)+ROUND(Source!AE164*Source!I164, 2))), 2)</f>
        <v>71.319999999999993</v>
      </c>
      <c r="T345">
        <f>Source!X164</f>
        <v>471.44</v>
      </c>
      <c r="U345">
        <f>ROUND((Source!FY164/100)*((ROUND(Source!AF164*Source!I164, 2)+ROUND(Source!AE164*Source!I164, 2))), 2)</f>
        <v>45.72</v>
      </c>
      <c r="V345">
        <f>Source!Y164</f>
        <v>302.20999999999998</v>
      </c>
    </row>
    <row r="346" spans="1:26" ht="14.25" x14ac:dyDescent="0.2">
      <c r="A346" s="44"/>
      <c r="B346" s="45"/>
      <c r="C346" s="45" t="s">
        <v>686</v>
      </c>
      <c r="D346" s="28"/>
      <c r="E346" s="10"/>
      <c r="F346" s="29">
        <f>Source!AO164</f>
        <v>7.41</v>
      </c>
      <c r="G346" s="30" t="str">
        <f>Source!DG164</f>
        <v/>
      </c>
      <c r="H346" s="29">
        <f>ROUND(Source!AF164*Source!I164, 2)</f>
        <v>91.44</v>
      </c>
      <c r="I346" s="30"/>
      <c r="J346" s="30">
        <f>IF(Source!BA164&lt;&gt; 0, Source!BA164, 1)</f>
        <v>6.61</v>
      </c>
      <c r="K346" s="29">
        <f>Source!S164</f>
        <v>604.41</v>
      </c>
      <c r="L346" s="31"/>
      <c r="R346">
        <f>H346</f>
        <v>91.44</v>
      </c>
    </row>
    <row r="347" spans="1:26" ht="14.25" x14ac:dyDescent="0.2">
      <c r="A347" s="44"/>
      <c r="B347" s="45"/>
      <c r="C347" s="45" t="s">
        <v>693</v>
      </c>
      <c r="D347" s="28"/>
      <c r="E347" s="10"/>
      <c r="F347" s="29">
        <f>Source!AL164</f>
        <v>16.399999999999999</v>
      </c>
      <c r="G347" s="30" t="str">
        <f>Source!DD164</f>
        <v/>
      </c>
      <c r="H347" s="29">
        <f>ROUND(Source!AC164*Source!I164, 2)</f>
        <v>202.38</v>
      </c>
      <c r="I347" s="30"/>
      <c r="J347" s="30">
        <f>IF(Source!BC164&lt;&gt; 0, Source!BC164, 1)</f>
        <v>6.61</v>
      </c>
      <c r="K347" s="29">
        <f>Source!P164</f>
        <v>1337.71</v>
      </c>
      <c r="L347" s="31"/>
    </row>
    <row r="348" spans="1:26" ht="14.25" x14ac:dyDescent="0.2">
      <c r="A348" s="44"/>
      <c r="B348" s="45"/>
      <c r="C348" s="45" t="s">
        <v>687</v>
      </c>
      <c r="D348" s="28" t="s">
        <v>688</v>
      </c>
      <c r="E348" s="10">
        <f>Source!BZ164</f>
        <v>78</v>
      </c>
      <c r="F348" s="48"/>
      <c r="G348" s="30"/>
      <c r="H348" s="29">
        <f>SUM(S345:S350)</f>
        <v>71.319999999999993</v>
      </c>
      <c r="I348" s="32"/>
      <c r="J348" s="27">
        <f>Source!AT164</f>
        <v>78</v>
      </c>
      <c r="K348" s="29">
        <f>SUM(T345:T350)</f>
        <v>471.44</v>
      </c>
      <c r="L348" s="31"/>
    </row>
    <row r="349" spans="1:26" ht="14.25" x14ac:dyDescent="0.2">
      <c r="A349" s="44"/>
      <c r="B349" s="45"/>
      <c r="C349" s="45" t="s">
        <v>689</v>
      </c>
      <c r="D349" s="28" t="s">
        <v>688</v>
      </c>
      <c r="E349" s="10">
        <f>Source!CA164</f>
        <v>50</v>
      </c>
      <c r="F349" s="48"/>
      <c r="G349" s="30"/>
      <c r="H349" s="29">
        <f>SUM(U345:U350)</f>
        <v>45.72</v>
      </c>
      <c r="I349" s="32"/>
      <c r="J349" s="27">
        <f>Source!AU164</f>
        <v>50</v>
      </c>
      <c r="K349" s="29">
        <f>SUM(V345:V350)</f>
        <v>302.20999999999998</v>
      </c>
      <c r="L349" s="31"/>
    </row>
    <row r="350" spans="1:26" ht="14.25" x14ac:dyDescent="0.2">
      <c r="A350" s="46"/>
      <c r="B350" s="47"/>
      <c r="C350" s="47" t="s">
        <v>690</v>
      </c>
      <c r="D350" s="33" t="s">
        <v>691</v>
      </c>
      <c r="E350" s="34">
        <f>Source!AQ164</f>
        <v>1.03</v>
      </c>
      <c r="F350" s="35"/>
      <c r="G350" s="36" t="str">
        <f>Source!DI164</f>
        <v/>
      </c>
      <c r="H350" s="35"/>
      <c r="I350" s="36"/>
      <c r="J350" s="36"/>
      <c r="K350" s="35"/>
      <c r="L350" s="37">
        <f>Source!U164</f>
        <v>12.7102</v>
      </c>
    </row>
    <row r="351" spans="1:26" ht="15" x14ac:dyDescent="0.25">
      <c r="G351" s="68">
        <f>H346+H347+H348+H349</f>
        <v>410.86</v>
      </c>
      <c r="H351" s="68"/>
      <c r="J351" s="68">
        <f>K346+K347+K348+K349</f>
        <v>2715.77</v>
      </c>
      <c r="K351" s="68"/>
      <c r="L351" s="38">
        <f>Source!U164</f>
        <v>12.7102</v>
      </c>
      <c r="O351" s="24">
        <f>G351</f>
        <v>410.86</v>
      </c>
      <c r="P351" s="24">
        <f>J351</f>
        <v>2715.77</v>
      </c>
      <c r="Q351" s="24">
        <f>L351</f>
        <v>12.7102</v>
      </c>
      <c r="W351">
        <f>IF(Source!BI164&lt;=1,H346+H347+H348+H349, 0)</f>
        <v>410.86</v>
      </c>
      <c r="X351">
        <f>IF(Source!BI164=2,H346+H347+H348+H349, 0)</f>
        <v>0</v>
      </c>
      <c r="Y351">
        <f>IF(Source!BI164=3,H346+H347+H348+H349, 0)</f>
        <v>0</v>
      </c>
      <c r="Z351">
        <f>IF(Source!BI164=4,H346+H347+H348+H349, 0)</f>
        <v>0</v>
      </c>
    </row>
    <row r="352" spans="1:26" ht="42.75" x14ac:dyDescent="0.2">
      <c r="A352" s="46" t="str">
        <f>Source!E165</f>
        <v>32</v>
      </c>
      <c r="B352" s="47" t="str">
        <f>Source!F165</f>
        <v>т01-01-01-041</v>
      </c>
      <c r="C352" s="47" t="str">
        <f>Source!G165</f>
        <v>Погрузочные работы при автомобильных перевозках мусора строительного с погрузкой вручную</v>
      </c>
      <c r="D352" s="33" t="str">
        <f>Source!H165</f>
        <v>1 Т ГРУЗА</v>
      </c>
      <c r="E352" s="34">
        <f>Source!I165</f>
        <v>12.34</v>
      </c>
      <c r="F352" s="35">
        <f>Source!AK165</f>
        <v>42.98</v>
      </c>
      <c r="G352" s="36" t="str">
        <f>Source!DC165</f>
        <v/>
      </c>
      <c r="H352" s="35">
        <f>ROUND(Source!AB165*Source!I165, 2)</f>
        <v>530.37</v>
      </c>
      <c r="I352" s="36" t="str">
        <f>Source!BO165</f>
        <v/>
      </c>
      <c r="J352" s="36">
        <f>Source!AZ165</f>
        <v>6.61</v>
      </c>
      <c r="K352" s="35">
        <f>Source!GM165</f>
        <v>3505.77</v>
      </c>
      <c r="L352" s="43"/>
      <c r="S352">
        <f>ROUND((Source!FX165/100)*((ROUND(0*Source!I165, 2)+ROUND(0*Source!I165, 2))), 2)</f>
        <v>0</v>
      </c>
      <c r="T352">
        <f>Source!X165</f>
        <v>0</v>
      </c>
      <c r="U352">
        <f>ROUND((Source!FY165/100)*((ROUND(0*Source!I165, 2)+ROUND(0*Source!I165, 2))), 2)</f>
        <v>0</v>
      </c>
      <c r="V352">
        <f>Source!Y165</f>
        <v>0</v>
      </c>
    </row>
    <row r="353" spans="1:26" ht="15" x14ac:dyDescent="0.25">
      <c r="G353" s="68">
        <f>H352</f>
        <v>530.37</v>
      </c>
      <c r="H353" s="68"/>
      <c r="J353" s="68">
        <f>K352</f>
        <v>3505.77</v>
      </c>
      <c r="K353" s="68"/>
      <c r="L353" s="38">
        <f>Source!U165</f>
        <v>0</v>
      </c>
      <c r="O353" s="24">
        <f>G353</f>
        <v>530.37</v>
      </c>
      <c r="P353" s="24">
        <f>J353</f>
        <v>3505.77</v>
      </c>
      <c r="Q353" s="24">
        <f>L353</f>
        <v>0</v>
      </c>
      <c r="W353">
        <f>IF(Source!BI165&lt;=1,H352, 0)</f>
        <v>530.37</v>
      </c>
      <c r="X353">
        <f>IF(Source!BI165=2,H352, 0)</f>
        <v>0</v>
      </c>
      <c r="Y353">
        <f>IF(Source!BI165=3,H352, 0)</f>
        <v>0</v>
      </c>
      <c r="Z353">
        <f>IF(Source!BI165=4,H352, 0)</f>
        <v>0</v>
      </c>
    </row>
    <row r="354" spans="1:26" ht="57" x14ac:dyDescent="0.2">
      <c r="A354" s="46" t="str">
        <f>Source!E166</f>
        <v>33</v>
      </c>
      <c r="B354" s="47" t="str">
        <f>Source!F166</f>
        <v>т03-01-01-070</v>
      </c>
      <c r="C354" s="47" t="str">
        <f>Source!G166</f>
        <v>Перевозка грузов I класса автомобилями бортовыми грузоподъемностью до 15 т на расстояние до 70 км</v>
      </c>
      <c r="D354" s="33" t="str">
        <f>Source!H166</f>
        <v>1 Т ГРУЗА</v>
      </c>
      <c r="E354" s="34">
        <f>Source!I166</f>
        <v>12.34</v>
      </c>
      <c r="F354" s="35">
        <f>Source!AK166</f>
        <v>29.16</v>
      </c>
      <c r="G354" s="36" t="str">
        <f>Source!DC166</f>
        <v/>
      </c>
      <c r="H354" s="35">
        <f>ROUND(Source!AB166*Source!I166, 2)</f>
        <v>359.83</v>
      </c>
      <c r="I354" s="36" t="str">
        <f>Source!BO166</f>
        <v/>
      </c>
      <c r="J354" s="36">
        <f>Source!AZ166</f>
        <v>6.61</v>
      </c>
      <c r="K354" s="35">
        <f>Source!GM166</f>
        <v>2378.5100000000002</v>
      </c>
      <c r="L354" s="43"/>
      <c r="S354">
        <f>ROUND((Source!FX166/100)*((ROUND(0*Source!I166, 2)+ROUND(0*Source!I166, 2))), 2)</f>
        <v>0</v>
      </c>
      <c r="T354">
        <f>Source!X166</f>
        <v>0</v>
      </c>
      <c r="U354">
        <f>ROUND((Source!FY166/100)*((ROUND(0*Source!I166, 2)+ROUND(0*Source!I166, 2))), 2)</f>
        <v>0</v>
      </c>
      <c r="V354">
        <f>Source!Y166</f>
        <v>0</v>
      </c>
    </row>
    <row r="355" spans="1:26" ht="15" x14ac:dyDescent="0.25">
      <c r="G355" s="68">
        <f>H354</f>
        <v>359.83</v>
      </c>
      <c r="H355" s="68"/>
      <c r="J355" s="68">
        <f>K354</f>
        <v>2378.5100000000002</v>
      </c>
      <c r="K355" s="68"/>
      <c r="L355" s="38">
        <f>Source!U166</f>
        <v>0</v>
      </c>
      <c r="O355" s="24">
        <f>G355</f>
        <v>359.83</v>
      </c>
      <c r="P355" s="24">
        <f>J355</f>
        <v>2378.5100000000002</v>
      </c>
      <c r="Q355" s="24">
        <f>L355</f>
        <v>0</v>
      </c>
      <c r="W355">
        <f>IF(Source!BI166&lt;=1,H354, 0)</f>
        <v>359.83</v>
      </c>
      <c r="X355">
        <f>IF(Source!BI166=2,H354, 0)</f>
        <v>0</v>
      </c>
      <c r="Y355">
        <f>IF(Source!BI166=3,H354, 0)</f>
        <v>0</v>
      </c>
      <c r="Z355">
        <f>IF(Source!BI166=4,H354, 0)</f>
        <v>0</v>
      </c>
    </row>
    <row r="356" spans="1:26" ht="15" x14ac:dyDescent="0.25">
      <c r="A356" s="66" t="str">
        <f>CONCATENATE("Итого по разделу: ",IF(Source!G168&lt;&gt;"Новый раздел", Source!G168, ""))</f>
        <v>Итого по разделу: 3 Уборка и вывоз мусора</v>
      </c>
      <c r="B356" s="66"/>
      <c r="C356" s="66"/>
      <c r="D356" s="66"/>
      <c r="E356" s="66"/>
      <c r="F356" s="66"/>
      <c r="G356" s="67">
        <f>SUM(O344:O355)</f>
        <v>1301.06</v>
      </c>
      <c r="H356" s="67"/>
      <c r="I356" s="26"/>
      <c r="J356" s="67">
        <f>SUM(P344:P355)</f>
        <v>8600.0499999999993</v>
      </c>
      <c r="K356" s="67"/>
      <c r="L356" s="38">
        <f>SUM(Q344:Q355)</f>
        <v>12.7102</v>
      </c>
    </row>
    <row r="357" spans="1:26" ht="15" x14ac:dyDescent="0.25">
      <c r="A357" s="66" t="str">
        <f>CONCATENATE("Итого по локальной смете: ",IF(Source!G197&lt;&gt;"Новая локальная смета", Source!G197, ""))</f>
        <v xml:space="preserve">Итого по локальной смете: </v>
      </c>
      <c r="B357" s="66"/>
      <c r="C357" s="66"/>
      <c r="D357" s="66"/>
      <c r="E357" s="66"/>
      <c r="F357" s="66"/>
      <c r="G357" s="67">
        <f>SUM(O29:O356)</f>
        <v>81595.020000000019</v>
      </c>
      <c r="H357" s="67"/>
      <c r="I357" s="26"/>
      <c r="J357" s="67">
        <f>SUM(P29:P356)</f>
        <v>539545.82000000018</v>
      </c>
      <c r="K357" s="67"/>
      <c r="L357" s="38">
        <f>SUM(Q29:Q356)</f>
        <v>639.0943876</v>
      </c>
    </row>
    <row r="358" spans="1:26" ht="15" x14ac:dyDescent="0.25">
      <c r="C358" s="66" t="str">
        <f>Source!H225</f>
        <v>Итого</v>
      </c>
      <c r="D358" s="66"/>
      <c r="E358" s="66"/>
      <c r="F358" s="66"/>
      <c r="G358" s="66"/>
      <c r="H358" s="66"/>
      <c r="I358" s="66"/>
      <c r="J358" s="67">
        <f>IF(Source!F225=0, "", Source!F225)</f>
        <v>539545.81999999995</v>
      </c>
      <c r="K358" s="67"/>
    </row>
    <row r="359" spans="1:26" ht="14.25" x14ac:dyDescent="0.2">
      <c r="C359" s="70" t="str">
        <f>Source!H226</f>
        <v>НДС 18%</v>
      </c>
      <c r="D359" s="70"/>
      <c r="E359" s="70"/>
      <c r="F359" s="70"/>
      <c r="G359" s="70"/>
      <c r="H359" s="70"/>
      <c r="I359" s="70"/>
      <c r="J359" s="58">
        <f>IF(Source!F226=0, "", Source!F226)</f>
        <v>97118.25</v>
      </c>
      <c r="K359" s="58"/>
    </row>
    <row r="360" spans="1:26" ht="15" x14ac:dyDescent="0.25">
      <c r="C360" s="66" t="str">
        <f>Source!H227</f>
        <v>Всего</v>
      </c>
      <c r="D360" s="66"/>
      <c r="E360" s="66"/>
      <c r="F360" s="66"/>
      <c r="G360" s="66"/>
      <c r="H360" s="66"/>
      <c r="I360" s="66"/>
      <c r="J360" s="67">
        <f>IF(Source!F227=0, "", Source!F227)</f>
        <v>636664.06999999995</v>
      </c>
      <c r="K360" s="67"/>
    </row>
    <row r="363" spans="1:26" ht="14.25" x14ac:dyDescent="0.2">
      <c r="A363" s="25" t="s">
        <v>695</v>
      </c>
      <c r="B363" s="25"/>
      <c r="C363" s="50"/>
      <c r="D363" s="51"/>
      <c r="E363" s="51"/>
      <c r="F363" s="51"/>
      <c r="G363" s="51"/>
      <c r="H363" s="51"/>
      <c r="I363" s="51"/>
      <c r="J363" s="11"/>
      <c r="K363" s="11"/>
      <c r="L363" s="11"/>
    </row>
    <row r="364" spans="1:26" ht="14.25" x14ac:dyDescent="0.2">
      <c r="A364" s="11"/>
      <c r="B364" s="11"/>
      <c r="C364" s="50"/>
      <c r="D364" s="64"/>
      <c r="E364" s="64"/>
      <c r="F364" s="64"/>
      <c r="G364" s="64"/>
      <c r="H364" s="64"/>
      <c r="I364" s="51"/>
      <c r="J364" s="11"/>
      <c r="K364" s="11"/>
      <c r="L364" s="11"/>
    </row>
    <row r="365" spans="1:26" ht="14.25" x14ac:dyDescent="0.2">
      <c r="A365" s="11"/>
      <c r="B365" s="11"/>
      <c r="C365" s="50"/>
      <c r="D365" s="51"/>
      <c r="E365" s="51"/>
      <c r="F365" s="51"/>
      <c r="G365" s="51"/>
      <c r="H365" s="51"/>
      <c r="I365" s="51"/>
      <c r="J365" s="11"/>
      <c r="K365" s="11"/>
      <c r="L365" s="11"/>
    </row>
    <row r="366" spans="1:26" ht="14.25" x14ac:dyDescent="0.2">
      <c r="A366" s="25" t="s">
        <v>695</v>
      </c>
      <c r="B366" s="25"/>
      <c r="C366" s="50"/>
      <c r="D366" s="51"/>
      <c r="E366" s="51"/>
      <c r="F366" s="51"/>
      <c r="G366" s="51"/>
      <c r="H366" s="51"/>
      <c r="I366" s="51"/>
      <c r="J366" s="11"/>
      <c r="K366" s="11"/>
      <c r="L366" s="11"/>
    </row>
    <row r="367" spans="1:26" ht="14.25" x14ac:dyDescent="0.2">
      <c r="A367" s="11"/>
      <c r="B367" s="11"/>
      <c r="C367" s="51"/>
      <c r="D367" s="64"/>
      <c r="E367" s="64"/>
      <c r="F367" s="64"/>
      <c r="G367" s="64"/>
      <c r="H367" s="64"/>
      <c r="I367" s="51"/>
      <c r="J367" s="11"/>
      <c r="K367" s="11"/>
      <c r="L367" s="11"/>
    </row>
    <row r="368" spans="1:26" x14ac:dyDescent="0.2">
      <c r="C368" s="52"/>
      <c r="D368" s="52"/>
      <c r="E368" s="52"/>
      <c r="F368" s="52"/>
      <c r="G368" s="52"/>
      <c r="H368" s="52"/>
      <c r="I368" s="52"/>
    </row>
  </sheetData>
  <mergeCells count="154">
    <mergeCell ref="G283:H283"/>
    <mergeCell ref="J342:K342"/>
    <mergeCell ref="G342:H342"/>
    <mergeCell ref="J332:K332"/>
    <mergeCell ref="G343:H343"/>
    <mergeCell ref="J343:K343"/>
    <mergeCell ref="A343:F343"/>
    <mergeCell ref="G357:H357"/>
    <mergeCell ref="J357:K357"/>
    <mergeCell ref="A357:F357"/>
    <mergeCell ref="G356:H356"/>
    <mergeCell ref="J356:K356"/>
    <mergeCell ref="A356:F356"/>
    <mergeCell ref="J355:K355"/>
    <mergeCell ref="G355:H355"/>
    <mergeCell ref="J353:K353"/>
    <mergeCell ref="G353:H353"/>
    <mergeCell ref="J351:K351"/>
    <mergeCell ref="G351:H351"/>
    <mergeCell ref="A344:L344"/>
    <mergeCell ref="G332:H332"/>
    <mergeCell ref="J324:K324"/>
    <mergeCell ref="G324:H324"/>
    <mergeCell ref="J315:K315"/>
    <mergeCell ref="G315:H315"/>
    <mergeCell ref="A205:F205"/>
    <mergeCell ref="J204:K204"/>
    <mergeCell ref="G204:H204"/>
    <mergeCell ref="J193:K193"/>
    <mergeCell ref="G193:H193"/>
    <mergeCell ref="J241:K241"/>
    <mergeCell ref="G241:H241"/>
    <mergeCell ref="J261:K261"/>
    <mergeCell ref="G261:H261"/>
    <mergeCell ref="J250:K250"/>
    <mergeCell ref="G250:H250"/>
    <mergeCell ref="J230:K230"/>
    <mergeCell ref="J272:K272"/>
    <mergeCell ref="G272:H272"/>
    <mergeCell ref="J305:K305"/>
    <mergeCell ref="G305:H305"/>
    <mergeCell ref="J294:K294"/>
    <mergeCell ref="G294:H294"/>
    <mergeCell ref="J283:K283"/>
    <mergeCell ref="G230:H230"/>
    <mergeCell ref="J223:K223"/>
    <mergeCell ref="G223:H223"/>
    <mergeCell ref="J215:K215"/>
    <mergeCell ref="G215:H215"/>
    <mergeCell ref="A206:L206"/>
    <mergeCell ref="G205:H205"/>
    <mergeCell ref="J205:K205"/>
    <mergeCell ref="F52:G52"/>
    <mergeCell ref="F121:G121"/>
    <mergeCell ref="F120:G120"/>
    <mergeCell ref="F155:G155"/>
    <mergeCell ref="J148:K148"/>
    <mergeCell ref="G148:H148"/>
    <mergeCell ref="F143:G143"/>
    <mergeCell ref="F142:G142"/>
    <mergeCell ref="J135:K135"/>
    <mergeCell ref="G135:H135"/>
    <mergeCell ref="F188:G188"/>
    <mergeCell ref="J184:K184"/>
    <mergeCell ref="G184:H184"/>
    <mergeCell ref="F180:G180"/>
    <mergeCell ref="F179:G179"/>
    <mergeCell ref="F189:G189"/>
    <mergeCell ref="J45:K45"/>
    <mergeCell ref="G45:H45"/>
    <mergeCell ref="F85:G85"/>
    <mergeCell ref="F84:G84"/>
    <mergeCell ref="J77:K77"/>
    <mergeCell ref="G77:H77"/>
    <mergeCell ref="J67:K67"/>
    <mergeCell ref="G67:H67"/>
    <mergeCell ref="G172:H172"/>
    <mergeCell ref="F168:G168"/>
    <mergeCell ref="F167:G167"/>
    <mergeCell ref="J160:K160"/>
    <mergeCell ref="G160:H160"/>
    <mergeCell ref="F156:G156"/>
    <mergeCell ref="J55:K55"/>
    <mergeCell ref="G55:H55"/>
    <mergeCell ref="F53:G53"/>
    <mergeCell ref="J106:K106"/>
    <mergeCell ref="G106:H106"/>
    <mergeCell ref="J115:K115"/>
    <mergeCell ref="F131:G131"/>
    <mergeCell ref="F130:G130"/>
    <mergeCell ref="J124:K124"/>
    <mergeCell ref="G124:H124"/>
    <mergeCell ref="D367:H367"/>
    <mergeCell ref="C24:F24"/>
    <mergeCell ref="G24:H24"/>
    <mergeCell ref="I24:J24"/>
    <mergeCell ref="K24:L24"/>
    <mergeCell ref="A26:L26"/>
    <mergeCell ref="C358:I358"/>
    <mergeCell ref="J358:K358"/>
    <mergeCell ref="G115:H115"/>
    <mergeCell ref="F112:G112"/>
    <mergeCell ref="F111:G111"/>
    <mergeCell ref="F98:G98"/>
    <mergeCell ref="F97:G97"/>
    <mergeCell ref="J90:K90"/>
    <mergeCell ref="G90:H90"/>
    <mergeCell ref="C359:I359"/>
    <mergeCell ref="J359:K359"/>
    <mergeCell ref="C360:I360"/>
    <mergeCell ref="J360:K360"/>
    <mergeCell ref="D364:H364"/>
    <mergeCell ref="J36:K36"/>
    <mergeCell ref="G36:H36"/>
    <mergeCell ref="A29:L29"/>
    <mergeCell ref="J172:K172"/>
    <mergeCell ref="C22:F22"/>
    <mergeCell ref="G22:H22"/>
    <mergeCell ref="I22:J22"/>
    <mergeCell ref="K22:L22"/>
    <mergeCell ref="C23:F23"/>
    <mergeCell ref="G23:H23"/>
    <mergeCell ref="I23:J23"/>
    <mergeCell ref="K23:L23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B11:K11"/>
    <mergeCell ref="B12:K12"/>
    <mergeCell ref="B14:K14"/>
    <mergeCell ref="G17:H17"/>
    <mergeCell ref="I17:J17"/>
    <mergeCell ref="H1:K2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292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287</v>
      </c>
      <c r="C12" s="1">
        <v>0</v>
      </c>
      <c r="D12" s="1">
        <f>ROW(A229)</f>
        <v>229</v>
      </c>
      <c r="E12" s="1">
        <v>0</v>
      </c>
      <c r="F12" s="1" t="s">
        <v>4</v>
      </c>
      <c r="G12" s="49" t="s">
        <v>697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B229</f>
        <v>287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Ремонт учебных аудиторий №15,№23,№27, 1-го этажа учебного здания Нововоронежского плитехнического -филиала НИЯУ МИФИ (НВПК НИЯУ МИФИ) по адресу: Воронежская область,г.Нововоронеж,ул.Октябрьская,д.1</v>
      </c>
      <c r="H18" s="2"/>
      <c r="I18" s="2"/>
      <c r="J18" s="2"/>
      <c r="K18" s="2"/>
      <c r="L18" s="2"/>
      <c r="M18" s="2"/>
      <c r="N18" s="2"/>
      <c r="O18" s="2">
        <f t="shared" ref="O18:AT18" si="1">O229</f>
        <v>476547.07</v>
      </c>
      <c r="P18" s="2">
        <f t="shared" si="1"/>
        <v>434412.13</v>
      </c>
      <c r="Q18" s="2">
        <f t="shared" si="1"/>
        <v>4640.08</v>
      </c>
      <c r="R18" s="2">
        <f t="shared" si="1"/>
        <v>1022.76</v>
      </c>
      <c r="S18" s="2">
        <f t="shared" si="1"/>
        <v>37494.86</v>
      </c>
      <c r="T18" s="2">
        <f t="shared" si="1"/>
        <v>0</v>
      </c>
      <c r="U18" s="2">
        <f t="shared" si="1"/>
        <v>639.0943876</v>
      </c>
      <c r="V18" s="2">
        <f t="shared" si="1"/>
        <v>13.089974999999995</v>
      </c>
      <c r="W18" s="2">
        <f t="shared" si="1"/>
        <v>0</v>
      </c>
      <c r="X18" s="2">
        <f t="shared" si="1"/>
        <v>36498.910000000003</v>
      </c>
      <c r="Y18" s="2">
        <f t="shared" si="1"/>
        <v>20615.560000000001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539545.81999999995</v>
      </c>
      <c r="AS18" s="2">
        <f t="shared" si="1"/>
        <v>404385</v>
      </c>
      <c r="AT18" s="2">
        <f t="shared" si="1"/>
        <v>135160.82</v>
      </c>
      <c r="AU18" s="2">
        <f t="shared" ref="AU18:BZ18" si="2">AU229</f>
        <v>0</v>
      </c>
      <c r="AV18" s="2">
        <f t="shared" si="2"/>
        <v>434412.13</v>
      </c>
      <c r="AW18" s="2">
        <f t="shared" si="2"/>
        <v>434412.13</v>
      </c>
      <c r="AX18" s="2">
        <f t="shared" si="2"/>
        <v>0</v>
      </c>
      <c r="AY18" s="2">
        <f t="shared" si="2"/>
        <v>434412.13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CA229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DG229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EM229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FS229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ROW(A197)</f>
        <v>197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B197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O197</f>
        <v>476547.07</v>
      </c>
      <c r="P22" s="2">
        <f t="shared" si="8"/>
        <v>434412.13</v>
      </c>
      <c r="Q22" s="2">
        <f t="shared" si="8"/>
        <v>4640.08</v>
      </c>
      <c r="R22" s="2">
        <f t="shared" si="8"/>
        <v>1022.76</v>
      </c>
      <c r="S22" s="2">
        <f t="shared" si="8"/>
        <v>37494.86</v>
      </c>
      <c r="T22" s="2">
        <f t="shared" si="8"/>
        <v>0</v>
      </c>
      <c r="U22" s="2">
        <f t="shared" si="8"/>
        <v>639.0943876</v>
      </c>
      <c r="V22" s="2">
        <f t="shared" si="8"/>
        <v>13.089974999999995</v>
      </c>
      <c r="W22" s="2">
        <f t="shared" si="8"/>
        <v>0</v>
      </c>
      <c r="X22" s="2">
        <f t="shared" si="8"/>
        <v>36498.910000000003</v>
      </c>
      <c r="Y22" s="2">
        <f t="shared" si="8"/>
        <v>20615.560000000001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539545.81999999995</v>
      </c>
      <c r="AS22" s="2">
        <f t="shared" si="8"/>
        <v>404385</v>
      </c>
      <c r="AT22" s="2">
        <f t="shared" si="8"/>
        <v>135160.82</v>
      </c>
      <c r="AU22" s="2">
        <f t="shared" ref="AU22:BZ22" si="9">AU197</f>
        <v>0</v>
      </c>
      <c r="AV22" s="2">
        <f t="shared" si="9"/>
        <v>434412.13</v>
      </c>
      <c r="AW22" s="2">
        <f t="shared" si="9"/>
        <v>434412.13</v>
      </c>
      <c r="AX22" s="2">
        <f t="shared" si="9"/>
        <v>0</v>
      </c>
      <c r="AY22" s="2">
        <f t="shared" si="9"/>
        <v>434412.13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CA197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DG197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EM197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FS197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ROW(A72)</f>
        <v>72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B72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O72</f>
        <v>346423.88</v>
      </c>
      <c r="P26" s="2">
        <f t="shared" si="15"/>
        <v>310159.78999999998</v>
      </c>
      <c r="Q26" s="2">
        <f t="shared" si="15"/>
        <v>4254.72</v>
      </c>
      <c r="R26" s="2">
        <f t="shared" si="15"/>
        <v>968.44</v>
      </c>
      <c r="S26" s="2">
        <f t="shared" si="15"/>
        <v>32009.37</v>
      </c>
      <c r="T26" s="2">
        <f t="shared" si="15"/>
        <v>0</v>
      </c>
      <c r="U26" s="2">
        <f t="shared" si="15"/>
        <v>549.29948760000002</v>
      </c>
      <c r="V26" s="2">
        <f t="shared" si="15"/>
        <v>12.437974999999996</v>
      </c>
      <c r="W26" s="2">
        <f t="shared" si="15"/>
        <v>0</v>
      </c>
      <c r="X26" s="2">
        <f t="shared" si="15"/>
        <v>31373.99</v>
      </c>
      <c r="Y26" s="2">
        <f t="shared" si="15"/>
        <v>17105.349999999999</v>
      </c>
      <c r="Z26" s="2">
        <f t="shared" si="15"/>
        <v>0</v>
      </c>
      <c r="AA26" s="2">
        <f t="shared" si="15"/>
        <v>0</v>
      </c>
      <c r="AB26" s="2">
        <f t="shared" si="15"/>
        <v>346423.88</v>
      </c>
      <c r="AC26" s="2">
        <f t="shared" si="15"/>
        <v>310159.78999999998</v>
      </c>
      <c r="AD26" s="2">
        <f t="shared" si="15"/>
        <v>4254.72</v>
      </c>
      <c r="AE26" s="2">
        <f t="shared" si="15"/>
        <v>968.44</v>
      </c>
      <c r="AF26" s="2">
        <f t="shared" si="15"/>
        <v>32009.37</v>
      </c>
      <c r="AG26" s="2">
        <f t="shared" si="15"/>
        <v>0</v>
      </c>
      <c r="AH26" s="2">
        <f t="shared" si="15"/>
        <v>549.29948760000002</v>
      </c>
      <c r="AI26" s="2">
        <f t="shared" si="15"/>
        <v>12.437974999999996</v>
      </c>
      <c r="AJ26" s="2">
        <f t="shared" si="15"/>
        <v>0</v>
      </c>
      <c r="AK26" s="2">
        <f t="shared" si="15"/>
        <v>31373.99</v>
      </c>
      <c r="AL26" s="2">
        <f t="shared" si="15"/>
        <v>17105.349999999999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394903.22</v>
      </c>
      <c r="AS26" s="2">
        <f t="shared" si="15"/>
        <v>394903.22</v>
      </c>
      <c r="AT26" s="2">
        <f t="shared" si="15"/>
        <v>0</v>
      </c>
      <c r="AU26" s="2">
        <f t="shared" ref="AU26:BZ26" si="16">AU72</f>
        <v>0</v>
      </c>
      <c r="AV26" s="2">
        <f t="shared" si="16"/>
        <v>310159.78999999998</v>
      </c>
      <c r="AW26" s="2">
        <f t="shared" si="16"/>
        <v>310159.78999999998</v>
      </c>
      <c r="AX26" s="2">
        <f t="shared" si="16"/>
        <v>0</v>
      </c>
      <c r="AY26" s="2">
        <f t="shared" si="16"/>
        <v>310159.78999999998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CA72</f>
        <v>394903.22</v>
      </c>
      <c r="CB26" s="2">
        <f t="shared" si="17"/>
        <v>394903.22</v>
      </c>
      <c r="CC26" s="2">
        <f t="shared" si="17"/>
        <v>0</v>
      </c>
      <c r="CD26" s="2">
        <f t="shared" si="17"/>
        <v>0</v>
      </c>
      <c r="CE26" s="2">
        <f t="shared" si="17"/>
        <v>310159.78999999998</v>
      </c>
      <c r="CF26" s="2">
        <f t="shared" si="17"/>
        <v>310159.78999999998</v>
      </c>
      <c r="CG26" s="2">
        <f t="shared" si="17"/>
        <v>0</v>
      </c>
      <c r="CH26" s="2">
        <f t="shared" si="17"/>
        <v>310159.78999999998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DG72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EM72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FS72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ROW(SmtRes!A1)</f>
        <v>1</v>
      </c>
      <c r="D28">
        <f>ROW(EtalonRes!A2)</f>
        <v>2</v>
      </c>
      <c r="E28" t="s">
        <v>14</v>
      </c>
      <c r="F28" t="s">
        <v>15</v>
      </c>
      <c r="G28" t="s">
        <v>16</v>
      </c>
      <c r="H28" t="s">
        <v>17</v>
      </c>
      <c r="I28">
        <f>ROUND(76.78/100,9)</f>
        <v>0.76780000000000004</v>
      </c>
      <c r="J28">
        <v>0</v>
      </c>
      <c r="O28">
        <f t="shared" ref="O28:O70" si="21">ROUND(CP28,2)</f>
        <v>149.26</v>
      </c>
      <c r="P28">
        <f t="shared" ref="P28:P70" si="22">ROUND(CQ28*I28,2)</f>
        <v>0</v>
      </c>
      <c r="Q28">
        <f t="shared" ref="Q28:Q70" si="23">ROUND(CR28*I28,2)</f>
        <v>0</v>
      </c>
      <c r="R28">
        <f t="shared" ref="R28:R70" si="24">ROUND(CS28*I28,2)</f>
        <v>0</v>
      </c>
      <c r="S28">
        <f t="shared" ref="S28:S70" si="25">ROUND(CT28*I28,2)</f>
        <v>149.26</v>
      </c>
      <c r="T28">
        <f t="shared" ref="T28:T70" si="26">ROUND(CU28*I28,2)</f>
        <v>0</v>
      </c>
      <c r="U28">
        <f t="shared" ref="U28:U70" si="27">CV28*I28</f>
        <v>2.894606</v>
      </c>
      <c r="V28">
        <f t="shared" ref="V28:V70" si="28">CW28*I28</f>
        <v>0</v>
      </c>
      <c r="W28">
        <f t="shared" ref="W28:W70" si="29">ROUND(CX28*I28,2)</f>
        <v>0</v>
      </c>
      <c r="X28">
        <f t="shared" ref="X28:X70" si="30">ROUND(CY28,2)</f>
        <v>119.41</v>
      </c>
      <c r="Y28">
        <f t="shared" ref="Y28:Y70" si="31">ROUND(CZ28,2)</f>
        <v>101.5</v>
      </c>
      <c r="AA28">
        <v>39616881</v>
      </c>
      <c r="AB28">
        <f t="shared" ref="AB28:AB70" si="32">ROUND((AC28+AD28+AF28),2)</f>
        <v>29.41</v>
      </c>
      <c r="AC28">
        <f t="shared" ref="AC28:AC70" si="33">ROUND((ES28),2)</f>
        <v>0</v>
      </c>
      <c r="AD28">
        <f>ROUND((((ET28)-(EU28))+AE28),2)</f>
        <v>0</v>
      </c>
      <c r="AE28">
        <f>ROUND((EU28),2)</f>
        <v>0</v>
      </c>
      <c r="AF28">
        <f>ROUND((EV28),2)</f>
        <v>29.41</v>
      </c>
      <c r="AG28">
        <f t="shared" ref="AG28:AG70" si="34">ROUND((AP28),2)</f>
        <v>0</v>
      </c>
      <c r="AH28">
        <f>(EW28)</f>
        <v>3.77</v>
      </c>
      <c r="AI28">
        <f>(EX28)</f>
        <v>0</v>
      </c>
      <c r="AJ28">
        <f t="shared" ref="AJ28:AJ70" si="35">ROUND((AS28),2)</f>
        <v>0</v>
      </c>
      <c r="AK28">
        <v>29.41</v>
      </c>
      <c r="AL28">
        <v>0</v>
      </c>
      <c r="AM28">
        <v>0</v>
      </c>
      <c r="AN28">
        <v>0</v>
      </c>
      <c r="AO28">
        <v>29.41</v>
      </c>
      <c r="AP28">
        <v>0</v>
      </c>
      <c r="AQ28">
        <v>3.77</v>
      </c>
      <c r="AR28">
        <v>0</v>
      </c>
      <c r="AS28">
        <v>0</v>
      </c>
      <c r="AT28">
        <v>80</v>
      </c>
      <c r="AU28">
        <v>68</v>
      </c>
      <c r="AV28">
        <v>1</v>
      </c>
      <c r="AW28">
        <v>1</v>
      </c>
      <c r="AZ28">
        <v>6.61</v>
      </c>
      <c r="BA28">
        <v>6.61</v>
      </c>
      <c r="BB28">
        <v>6.61</v>
      </c>
      <c r="BC28">
        <v>6.61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18</v>
      </c>
      <c r="BM28">
        <v>57001</v>
      </c>
      <c r="BN28">
        <v>0</v>
      </c>
      <c r="BO28" t="s">
        <v>3</v>
      </c>
      <c r="BP28">
        <v>0</v>
      </c>
      <c r="BQ28">
        <v>6</v>
      </c>
      <c r="BR28">
        <v>0</v>
      </c>
      <c r="BS28">
        <v>6.61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68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ref="CP28:CP70" si="36">(P28+Q28+S28)</f>
        <v>149.26</v>
      </c>
      <c r="CQ28">
        <f t="shared" ref="CQ28:CQ70" si="37">AC28*BC28</f>
        <v>0</v>
      </c>
      <c r="CR28">
        <f t="shared" ref="CR28:CR70" si="38">AD28*BB28</f>
        <v>0</v>
      </c>
      <c r="CS28">
        <f t="shared" ref="CS28:CS70" si="39">AE28*BS28</f>
        <v>0</v>
      </c>
      <c r="CT28">
        <f t="shared" ref="CT28:CT70" si="40">AF28*BA28</f>
        <v>194.40010000000001</v>
      </c>
      <c r="CU28">
        <f t="shared" ref="CU28:CU70" si="41">AG28</f>
        <v>0</v>
      </c>
      <c r="CV28">
        <f t="shared" ref="CV28:CV70" si="42">AH28</f>
        <v>3.77</v>
      </c>
      <c r="CW28">
        <f t="shared" ref="CW28:CW70" si="43">AI28</f>
        <v>0</v>
      </c>
      <c r="CX28">
        <f t="shared" ref="CX28:CX70" si="44">AJ28</f>
        <v>0</v>
      </c>
      <c r="CY28">
        <f t="shared" ref="CY28:CY70" si="45">(((S28+R28)*AT28)/100)</f>
        <v>119.40799999999999</v>
      </c>
      <c r="CZ28">
        <f t="shared" ref="CZ28:CZ70" si="46">(((S28+R28)*AU28)/100)</f>
        <v>101.49680000000001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17</v>
      </c>
      <c r="DW28" t="s">
        <v>17</v>
      </c>
      <c r="DX28">
        <v>100</v>
      </c>
      <c r="EE28">
        <v>39174582</v>
      </c>
      <c r="EF28">
        <v>6</v>
      </c>
      <c r="EG28" t="s">
        <v>19</v>
      </c>
      <c r="EH28">
        <v>0</v>
      </c>
      <c r="EI28" t="s">
        <v>3</v>
      </c>
      <c r="EJ28">
        <v>1</v>
      </c>
      <c r="EK28">
        <v>57001</v>
      </c>
      <c r="EL28" t="s">
        <v>20</v>
      </c>
      <c r="EM28" t="s">
        <v>21</v>
      </c>
      <c r="EO28" t="s">
        <v>3</v>
      </c>
      <c r="EQ28">
        <v>0</v>
      </c>
      <c r="ER28">
        <v>29.41</v>
      </c>
      <c r="ES28">
        <v>0</v>
      </c>
      <c r="ET28">
        <v>0</v>
      </c>
      <c r="EU28">
        <v>0</v>
      </c>
      <c r="EV28">
        <v>29.41</v>
      </c>
      <c r="EW28">
        <v>3.77</v>
      </c>
      <c r="EX28">
        <v>0</v>
      </c>
      <c r="EY28">
        <v>0</v>
      </c>
      <c r="FQ28">
        <v>0</v>
      </c>
      <c r="FR28">
        <f t="shared" ref="FR28:FR70" si="47">ROUND(IF(AND(BH28=3,BI28=3),P28,0),2)</f>
        <v>0</v>
      </c>
      <c r="FS28">
        <v>0</v>
      </c>
      <c r="FX28">
        <v>80</v>
      </c>
      <c r="FY28">
        <v>68</v>
      </c>
      <c r="GA28" t="s">
        <v>3</v>
      </c>
      <c r="GD28">
        <v>0</v>
      </c>
      <c r="GF28">
        <v>-1389370821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70" si="48">ROUND(IF(AND(BH28=3,BI28=3,FS28&lt;&gt;0),P28,0),2)</f>
        <v>0</v>
      </c>
      <c r="GM28">
        <f t="shared" ref="GM28:GM70" si="49">ROUND(O28+X28+Y28+GK28,2)+GX28</f>
        <v>370.17</v>
      </c>
      <c r="GN28">
        <f t="shared" ref="GN28:GN70" si="50">IF(OR(BI28=0,BI28=1),ROUND(O28+X28+Y28+GK28,2),0)</f>
        <v>370.17</v>
      </c>
      <c r="GO28">
        <f t="shared" ref="GO28:GO70" si="51">IF(BI28=2,ROUND(O28+X28+Y28+GK28,2),0)</f>
        <v>0</v>
      </c>
      <c r="GP28">
        <f t="shared" ref="GP28:GP70" si="52"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 t="shared" ref="GV28:GV70" si="53">ROUND(GT28,2)</f>
        <v>0</v>
      </c>
      <c r="GW28">
        <v>1</v>
      </c>
      <c r="GX28">
        <f t="shared" ref="GX28:GX70" si="54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ROW(SmtRes!A4)</f>
        <v>4</v>
      </c>
      <c r="D29">
        <f>ROW(EtalonRes!A6)</f>
        <v>6</v>
      </c>
      <c r="E29" t="s">
        <v>22</v>
      </c>
      <c r="F29" t="s">
        <v>23</v>
      </c>
      <c r="G29" t="s">
        <v>24</v>
      </c>
      <c r="H29" t="s">
        <v>25</v>
      </c>
      <c r="I29">
        <f>ROUND(120.6/100,9)</f>
        <v>1.206</v>
      </c>
      <c r="J29">
        <v>0</v>
      </c>
      <c r="O29">
        <f t="shared" si="21"/>
        <v>740.56</v>
      </c>
      <c r="P29">
        <f t="shared" si="22"/>
        <v>0</v>
      </c>
      <c r="Q29">
        <f t="shared" si="23"/>
        <v>32.36</v>
      </c>
      <c r="R29">
        <f t="shared" si="24"/>
        <v>14.03</v>
      </c>
      <c r="S29">
        <f t="shared" si="25"/>
        <v>708.2</v>
      </c>
      <c r="T29">
        <f t="shared" si="26"/>
        <v>0</v>
      </c>
      <c r="U29">
        <f t="shared" si="27"/>
        <v>13.73634</v>
      </c>
      <c r="V29">
        <f t="shared" si="28"/>
        <v>0.15678</v>
      </c>
      <c r="W29">
        <f t="shared" si="29"/>
        <v>0</v>
      </c>
      <c r="X29">
        <f t="shared" si="30"/>
        <v>577.78</v>
      </c>
      <c r="Y29">
        <f t="shared" si="31"/>
        <v>491.12</v>
      </c>
      <c r="AA29">
        <v>39616881</v>
      </c>
      <c r="AB29">
        <f t="shared" si="32"/>
        <v>92.9</v>
      </c>
      <c r="AC29">
        <f t="shared" si="33"/>
        <v>0</v>
      </c>
      <c r="AD29">
        <f>ROUND((((ET29)-(EU29))+AE29),2)</f>
        <v>4.0599999999999996</v>
      </c>
      <c r="AE29">
        <f>ROUND((EU29),2)</f>
        <v>1.76</v>
      </c>
      <c r="AF29">
        <f>ROUND((EV29),2)</f>
        <v>88.84</v>
      </c>
      <c r="AG29">
        <f t="shared" si="34"/>
        <v>0</v>
      </c>
      <c r="AH29">
        <f>(EW29)</f>
        <v>11.39</v>
      </c>
      <c r="AI29">
        <f>(EX29)</f>
        <v>0.13</v>
      </c>
      <c r="AJ29">
        <f t="shared" si="35"/>
        <v>0</v>
      </c>
      <c r="AK29">
        <v>92.9</v>
      </c>
      <c r="AL29">
        <v>0</v>
      </c>
      <c r="AM29">
        <v>4.0599999999999996</v>
      </c>
      <c r="AN29">
        <v>1.76</v>
      </c>
      <c r="AO29">
        <v>88.84</v>
      </c>
      <c r="AP29">
        <v>0</v>
      </c>
      <c r="AQ29">
        <v>11.39</v>
      </c>
      <c r="AR29">
        <v>0.13</v>
      </c>
      <c r="AS29">
        <v>0</v>
      </c>
      <c r="AT29">
        <v>80</v>
      </c>
      <c r="AU29">
        <v>68</v>
      </c>
      <c r="AV29">
        <v>1</v>
      </c>
      <c r="AW29">
        <v>1</v>
      </c>
      <c r="AZ29">
        <v>6.61</v>
      </c>
      <c r="BA29">
        <v>6.61</v>
      </c>
      <c r="BB29">
        <v>6.61</v>
      </c>
      <c r="BC29">
        <v>6.61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26</v>
      </c>
      <c r="BM29">
        <v>57001</v>
      </c>
      <c r="BN29">
        <v>0</v>
      </c>
      <c r="BO29" t="s">
        <v>3</v>
      </c>
      <c r="BP29">
        <v>0</v>
      </c>
      <c r="BQ29">
        <v>6</v>
      </c>
      <c r="BR29">
        <v>0</v>
      </c>
      <c r="BS29">
        <v>6.61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68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6"/>
        <v>740.56000000000006</v>
      </c>
      <c r="CQ29">
        <f t="shared" si="37"/>
        <v>0</v>
      </c>
      <c r="CR29">
        <f t="shared" si="38"/>
        <v>26.836599999999997</v>
      </c>
      <c r="CS29">
        <f t="shared" si="39"/>
        <v>11.633600000000001</v>
      </c>
      <c r="CT29">
        <f t="shared" si="40"/>
        <v>587.2324000000001</v>
      </c>
      <c r="CU29">
        <f t="shared" si="41"/>
        <v>0</v>
      </c>
      <c r="CV29">
        <f t="shared" si="42"/>
        <v>11.39</v>
      </c>
      <c r="CW29">
        <f t="shared" si="43"/>
        <v>0.13</v>
      </c>
      <c r="CX29">
        <f t="shared" si="44"/>
        <v>0</v>
      </c>
      <c r="CY29">
        <f t="shared" si="45"/>
        <v>577.78399999999999</v>
      </c>
      <c r="CZ29">
        <f t="shared" si="46"/>
        <v>491.1164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25</v>
      </c>
      <c r="DW29" t="s">
        <v>25</v>
      </c>
      <c r="DX29">
        <v>100</v>
      </c>
      <c r="EE29">
        <v>39174582</v>
      </c>
      <c r="EF29">
        <v>6</v>
      </c>
      <c r="EG29" t="s">
        <v>19</v>
      </c>
      <c r="EH29">
        <v>0</v>
      </c>
      <c r="EI29" t="s">
        <v>3</v>
      </c>
      <c r="EJ29">
        <v>1</v>
      </c>
      <c r="EK29">
        <v>57001</v>
      </c>
      <c r="EL29" t="s">
        <v>20</v>
      </c>
      <c r="EM29" t="s">
        <v>21</v>
      </c>
      <c r="EO29" t="s">
        <v>3</v>
      </c>
      <c r="EQ29">
        <v>0</v>
      </c>
      <c r="ER29">
        <v>92.9</v>
      </c>
      <c r="ES29">
        <v>0</v>
      </c>
      <c r="ET29">
        <v>4.0599999999999996</v>
      </c>
      <c r="EU29">
        <v>1.76</v>
      </c>
      <c r="EV29">
        <v>88.84</v>
      </c>
      <c r="EW29">
        <v>11.39</v>
      </c>
      <c r="EX29">
        <v>0.13</v>
      </c>
      <c r="EY29">
        <v>0</v>
      </c>
      <c r="FQ29">
        <v>0</v>
      </c>
      <c r="FR29">
        <f t="shared" si="47"/>
        <v>0</v>
      </c>
      <c r="FS29">
        <v>0</v>
      </c>
      <c r="FX29">
        <v>80</v>
      </c>
      <c r="FY29">
        <v>68</v>
      </c>
      <c r="GA29" t="s">
        <v>3</v>
      </c>
      <c r="GD29">
        <v>0</v>
      </c>
      <c r="GF29">
        <v>537707280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8"/>
        <v>0</v>
      </c>
      <c r="GM29">
        <f t="shared" si="49"/>
        <v>1809.46</v>
      </c>
      <c r="GN29">
        <f t="shared" si="50"/>
        <v>1809.46</v>
      </c>
      <c r="GO29">
        <f t="shared" si="51"/>
        <v>0</v>
      </c>
      <c r="GP29">
        <f t="shared" si="52"/>
        <v>0</v>
      </c>
      <c r="GR29">
        <v>0</v>
      </c>
      <c r="GS29">
        <v>3</v>
      </c>
      <c r="GT29">
        <v>0</v>
      </c>
      <c r="GU29" t="s">
        <v>3</v>
      </c>
      <c r="GV29">
        <f t="shared" si="53"/>
        <v>0</v>
      </c>
      <c r="GW29">
        <v>1</v>
      </c>
      <c r="GX29">
        <f t="shared" si="54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ROW(SmtRes!A9)</f>
        <v>9</v>
      </c>
      <c r="D30">
        <f>ROW(EtalonRes!A11)</f>
        <v>11</v>
      </c>
      <c r="E30" t="s">
        <v>27</v>
      </c>
      <c r="F30" t="s">
        <v>28</v>
      </c>
      <c r="G30" t="s">
        <v>29</v>
      </c>
      <c r="H30" t="s">
        <v>25</v>
      </c>
      <c r="I30">
        <f>ROUND(120.6/100,9)</f>
        <v>1.206</v>
      </c>
      <c r="J30">
        <v>0</v>
      </c>
      <c r="O30">
        <f t="shared" si="21"/>
        <v>54596.94</v>
      </c>
      <c r="P30">
        <f t="shared" si="22"/>
        <v>42531.99</v>
      </c>
      <c r="Q30">
        <f t="shared" si="23"/>
        <v>3235.62</v>
      </c>
      <c r="R30">
        <f t="shared" si="24"/>
        <v>631.66999999999996</v>
      </c>
      <c r="S30">
        <f t="shared" si="25"/>
        <v>8829.33</v>
      </c>
      <c r="T30">
        <f t="shared" si="26"/>
        <v>0</v>
      </c>
      <c r="U30">
        <f t="shared" si="27"/>
        <v>142.10177399999998</v>
      </c>
      <c r="V30">
        <f t="shared" si="28"/>
        <v>8.0500499999999988</v>
      </c>
      <c r="W30">
        <f t="shared" si="29"/>
        <v>0</v>
      </c>
      <c r="X30">
        <f t="shared" si="30"/>
        <v>8987.9500000000007</v>
      </c>
      <c r="Y30">
        <f t="shared" si="31"/>
        <v>4446.67</v>
      </c>
      <c r="AA30">
        <v>39616881</v>
      </c>
      <c r="AB30">
        <f t="shared" si="32"/>
        <v>6848.88</v>
      </c>
      <c r="AC30">
        <f t="shared" si="33"/>
        <v>5335.4</v>
      </c>
      <c r="AD30">
        <f>ROUND(((((ET30*1.25))-((EU30*1.25)))+AE30),2)</f>
        <v>405.89</v>
      </c>
      <c r="AE30">
        <f>ROUND(((EU30*1.25)),2)</f>
        <v>79.239999999999995</v>
      </c>
      <c r="AF30">
        <f>ROUND(((EV30*1.15)),2)</f>
        <v>1107.5899999999999</v>
      </c>
      <c r="AG30">
        <f t="shared" si="34"/>
        <v>0</v>
      </c>
      <c r="AH30">
        <f>((EW30*1.15))</f>
        <v>117.82899999999998</v>
      </c>
      <c r="AI30">
        <f>((EX30*1.25))</f>
        <v>6.6749999999999998</v>
      </c>
      <c r="AJ30">
        <f t="shared" si="35"/>
        <v>0</v>
      </c>
      <c r="AK30">
        <v>6623.23</v>
      </c>
      <c r="AL30">
        <v>5335.4</v>
      </c>
      <c r="AM30">
        <v>324.70999999999998</v>
      </c>
      <c r="AN30">
        <v>63.39</v>
      </c>
      <c r="AO30">
        <v>963.12</v>
      </c>
      <c r="AP30">
        <v>0</v>
      </c>
      <c r="AQ30">
        <v>102.46</v>
      </c>
      <c r="AR30">
        <v>5.34</v>
      </c>
      <c r="AS30">
        <v>0</v>
      </c>
      <c r="AT30">
        <v>95</v>
      </c>
      <c r="AU30">
        <v>47</v>
      </c>
      <c r="AV30">
        <v>1</v>
      </c>
      <c r="AW30">
        <v>1</v>
      </c>
      <c r="AZ30">
        <v>6.61</v>
      </c>
      <c r="BA30">
        <v>6.61</v>
      </c>
      <c r="BB30">
        <v>6.61</v>
      </c>
      <c r="BC30">
        <v>6.61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30</v>
      </c>
      <c r="BM30">
        <v>15001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6.61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105</v>
      </c>
      <c r="CA30">
        <v>55</v>
      </c>
      <c r="CF30">
        <v>0</v>
      </c>
      <c r="CG30">
        <v>0</v>
      </c>
      <c r="CM30">
        <v>0</v>
      </c>
      <c r="CN30" t="s">
        <v>31</v>
      </c>
      <c r="CO30">
        <v>0</v>
      </c>
      <c r="CP30">
        <f t="shared" si="36"/>
        <v>54596.94</v>
      </c>
      <c r="CQ30">
        <f t="shared" si="37"/>
        <v>35266.993999999999</v>
      </c>
      <c r="CR30">
        <f t="shared" si="38"/>
        <v>2682.9329000000002</v>
      </c>
      <c r="CS30">
        <f t="shared" si="39"/>
        <v>523.77639999999997</v>
      </c>
      <c r="CT30">
        <f t="shared" si="40"/>
        <v>7321.1698999999999</v>
      </c>
      <c r="CU30">
        <f t="shared" si="41"/>
        <v>0</v>
      </c>
      <c r="CV30">
        <f t="shared" si="42"/>
        <v>117.82899999999998</v>
      </c>
      <c r="CW30">
        <f t="shared" si="43"/>
        <v>6.6749999999999998</v>
      </c>
      <c r="CX30">
        <f t="shared" si="44"/>
        <v>0</v>
      </c>
      <c r="CY30">
        <f t="shared" si="45"/>
        <v>8987.9500000000007</v>
      </c>
      <c r="CZ30">
        <f t="shared" si="46"/>
        <v>4446.67</v>
      </c>
      <c r="DC30" t="s">
        <v>3</v>
      </c>
      <c r="DD30" t="s">
        <v>3</v>
      </c>
      <c r="DE30" t="s">
        <v>32</v>
      </c>
      <c r="DF30" t="s">
        <v>32</v>
      </c>
      <c r="DG30" t="s">
        <v>33</v>
      </c>
      <c r="DH30" t="s">
        <v>3</v>
      </c>
      <c r="DI30" t="s">
        <v>33</v>
      </c>
      <c r="DJ30" t="s">
        <v>32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25</v>
      </c>
      <c r="DW30" t="s">
        <v>25</v>
      </c>
      <c r="DX30">
        <v>100</v>
      </c>
      <c r="EE30">
        <v>39174529</v>
      </c>
      <c r="EF30">
        <v>2</v>
      </c>
      <c r="EG30" t="s">
        <v>34</v>
      </c>
      <c r="EH30">
        <v>0</v>
      </c>
      <c r="EI30" t="s">
        <v>3</v>
      </c>
      <c r="EJ30">
        <v>1</v>
      </c>
      <c r="EK30">
        <v>15001</v>
      </c>
      <c r="EL30" t="s">
        <v>35</v>
      </c>
      <c r="EM30" t="s">
        <v>36</v>
      </c>
      <c r="EO30" t="s">
        <v>37</v>
      </c>
      <c r="EQ30">
        <v>0</v>
      </c>
      <c r="ER30">
        <v>6623.23</v>
      </c>
      <c r="ES30">
        <v>5335.4</v>
      </c>
      <c r="ET30">
        <v>324.70999999999998</v>
      </c>
      <c r="EU30">
        <v>63.39</v>
      </c>
      <c r="EV30">
        <v>963.12</v>
      </c>
      <c r="EW30">
        <v>102.46</v>
      </c>
      <c r="EX30">
        <v>5.34</v>
      </c>
      <c r="EY30">
        <v>0</v>
      </c>
      <c r="FQ30">
        <v>0</v>
      </c>
      <c r="FR30">
        <f t="shared" si="47"/>
        <v>0</v>
      </c>
      <c r="FS30">
        <v>0</v>
      </c>
      <c r="FT30" t="s">
        <v>38</v>
      </c>
      <c r="FU30" t="s">
        <v>39</v>
      </c>
      <c r="FX30">
        <v>94.5</v>
      </c>
      <c r="FY30">
        <v>46.75</v>
      </c>
      <c r="GA30" t="s">
        <v>3</v>
      </c>
      <c r="GD30">
        <v>0</v>
      </c>
      <c r="GF30">
        <v>-59192285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8"/>
        <v>0</v>
      </c>
      <c r="GM30">
        <f t="shared" si="49"/>
        <v>68031.56</v>
      </c>
      <c r="GN30">
        <f t="shared" si="50"/>
        <v>68031.56</v>
      </c>
      <c r="GO30">
        <f t="shared" si="51"/>
        <v>0</v>
      </c>
      <c r="GP30">
        <f t="shared" si="52"/>
        <v>0</v>
      </c>
      <c r="GR30">
        <v>0</v>
      </c>
      <c r="GS30">
        <v>3</v>
      </c>
      <c r="GT30">
        <v>0</v>
      </c>
      <c r="GU30" t="s">
        <v>3</v>
      </c>
      <c r="GV30">
        <f t="shared" si="53"/>
        <v>0</v>
      </c>
      <c r="GW30">
        <v>1</v>
      </c>
      <c r="GX30">
        <f t="shared" si="54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ROW(SmtRes!A16)</f>
        <v>16</v>
      </c>
      <c r="D31">
        <f>ROW(EtalonRes!A18)</f>
        <v>18</v>
      </c>
      <c r="E31" t="s">
        <v>40</v>
      </c>
      <c r="F31" t="s">
        <v>41</v>
      </c>
      <c r="G31" t="s">
        <v>42</v>
      </c>
      <c r="H31" t="s">
        <v>43</v>
      </c>
      <c r="I31">
        <f>ROUND(6/100,9)</f>
        <v>0.06</v>
      </c>
      <c r="J31">
        <v>0</v>
      </c>
      <c r="O31">
        <f t="shared" si="21"/>
        <v>170.88</v>
      </c>
      <c r="P31">
        <f t="shared" si="22"/>
        <v>14.5</v>
      </c>
      <c r="Q31">
        <f t="shared" si="23"/>
        <v>0.12</v>
      </c>
      <c r="R31">
        <f t="shared" si="24"/>
        <v>0.06</v>
      </c>
      <c r="S31">
        <f t="shared" si="25"/>
        <v>156.26</v>
      </c>
      <c r="T31">
        <f t="shared" si="26"/>
        <v>0</v>
      </c>
      <c r="U31">
        <f t="shared" si="27"/>
        <v>2.7713999999999999</v>
      </c>
      <c r="V31">
        <f t="shared" si="28"/>
        <v>5.9999999999999995E-4</v>
      </c>
      <c r="W31">
        <f t="shared" si="29"/>
        <v>0</v>
      </c>
      <c r="X31">
        <f t="shared" si="30"/>
        <v>161.01</v>
      </c>
      <c r="Y31">
        <f t="shared" si="31"/>
        <v>93.79</v>
      </c>
      <c r="AA31">
        <v>39616881</v>
      </c>
      <c r="AB31">
        <f t="shared" si="32"/>
        <v>430.86</v>
      </c>
      <c r="AC31">
        <f t="shared" si="33"/>
        <v>36.549999999999997</v>
      </c>
      <c r="AD31">
        <f>ROUND((((ET31)-(EU31))+AE31),2)</f>
        <v>0.31</v>
      </c>
      <c r="AE31">
        <f t="shared" ref="AE31:AF34" si="55">ROUND((EU31),2)</f>
        <v>0.14000000000000001</v>
      </c>
      <c r="AF31">
        <f t="shared" si="55"/>
        <v>394</v>
      </c>
      <c r="AG31">
        <f t="shared" si="34"/>
        <v>0</v>
      </c>
      <c r="AH31">
        <f t="shared" ref="AH31:AI34" si="56">(EW31)</f>
        <v>46.19</v>
      </c>
      <c r="AI31">
        <f t="shared" si="56"/>
        <v>0.01</v>
      </c>
      <c r="AJ31">
        <f t="shared" si="35"/>
        <v>0</v>
      </c>
      <c r="AK31">
        <v>430.86</v>
      </c>
      <c r="AL31">
        <v>36.549999999999997</v>
      </c>
      <c r="AM31">
        <v>0.31</v>
      </c>
      <c r="AN31">
        <v>0.14000000000000001</v>
      </c>
      <c r="AO31">
        <v>394</v>
      </c>
      <c r="AP31">
        <v>0</v>
      </c>
      <c r="AQ31">
        <v>46.19</v>
      </c>
      <c r="AR31">
        <v>0.01</v>
      </c>
      <c r="AS31">
        <v>0</v>
      </c>
      <c r="AT31">
        <v>103</v>
      </c>
      <c r="AU31">
        <v>60</v>
      </c>
      <c r="AV31">
        <v>1</v>
      </c>
      <c r="AW31">
        <v>1</v>
      </c>
      <c r="AZ31">
        <v>6.61</v>
      </c>
      <c r="BA31">
        <v>6.61</v>
      </c>
      <c r="BB31">
        <v>6.61</v>
      </c>
      <c r="BC31">
        <v>6.61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44</v>
      </c>
      <c r="BM31">
        <v>65010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6.61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103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6"/>
        <v>170.88</v>
      </c>
      <c r="CQ31">
        <f t="shared" si="37"/>
        <v>241.59549999999999</v>
      </c>
      <c r="CR31">
        <f t="shared" si="38"/>
        <v>2.0491000000000001</v>
      </c>
      <c r="CS31">
        <f t="shared" si="39"/>
        <v>0.92540000000000011</v>
      </c>
      <c r="CT31">
        <f t="shared" si="40"/>
        <v>2604.34</v>
      </c>
      <c r="CU31">
        <f t="shared" si="41"/>
        <v>0</v>
      </c>
      <c r="CV31">
        <f t="shared" si="42"/>
        <v>46.19</v>
      </c>
      <c r="CW31">
        <f t="shared" si="43"/>
        <v>0.01</v>
      </c>
      <c r="CX31">
        <f t="shared" si="44"/>
        <v>0</v>
      </c>
      <c r="CY31">
        <f t="shared" si="45"/>
        <v>161.00959999999998</v>
      </c>
      <c r="CZ31">
        <f t="shared" si="46"/>
        <v>93.791999999999987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43</v>
      </c>
      <c r="DW31" t="s">
        <v>43</v>
      </c>
      <c r="DX31">
        <v>1</v>
      </c>
      <c r="EE31">
        <v>39174605</v>
      </c>
      <c r="EF31">
        <v>6</v>
      </c>
      <c r="EG31" t="s">
        <v>19</v>
      </c>
      <c r="EH31">
        <v>0</v>
      </c>
      <c r="EI31" t="s">
        <v>3</v>
      </c>
      <c r="EJ31">
        <v>1</v>
      </c>
      <c r="EK31">
        <v>65010</v>
      </c>
      <c r="EL31" t="s">
        <v>45</v>
      </c>
      <c r="EM31" t="s">
        <v>46</v>
      </c>
      <c r="EO31" t="s">
        <v>3</v>
      </c>
      <c r="EQ31">
        <v>0</v>
      </c>
      <c r="ER31">
        <v>430.86</v>
      </c>
      <c r="ES31">
        <v>36.549999999999997</v>
      </c>
      <c r="ET31">
        <v>0.31</v>
      </c>
      <c r="EU31">
        <v>0.14000000000000001</v>
      </c>
      <c r="EV31">
        <v>394</v>
      </c>
      <c r="EW31">
        <v>46.19</v>
      </c>
      <c r="EX31">
        <v>0.01</v>
      </c>
      <c r="EY31">
        <v>0</v>
      </c>
      <c r="FQ31">
        <v>0</v>
      </c>
      <c r="FR31">
        <f t="shared" si="47"/>
        <v>0</v>
      </c>
      <c r="FS31">
        <v>0</v>
      </c>
      <c r="FX31">
        <v>103</v>
      </c>
      <c r="FY31">
        <v>60</v>
      </c>
      <c r="GA31" t="s">
        <v>3</v>
      </c>
      <c r="GD31">
        <v>0</v>
      </c>
      <c r="GF31">
        <v>1556017287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8"/>
        <v>0</v>
      </c>
      <c r="GM31">
        <f t="shared" si="49"/>
        <v>425.68</v>
      </c>
      <c r="GN31">
        <f t="shared" si="50"/>
        <v>425.68</v>
      </c>
      <c r="GO31">
        <f t="shared" si="51"/>
        <v>0</v>
      </c>
      <c r="GP31">
        <f t="shared" si="52"/>
        <v>0</v>
      </c>
      <c r="GR31">
        <v>0</v>
      </c>
      <c r="GS31">
        <v>3</v>
      </c>
      <c r="GT31">
        <v>0</v>
      </c>
      <c r="GU31" t="s">
        <v>3</v>
      </c>
      <c r="GV31">
        <f t="shared" si="53"/>
        <v>0</v>
      </c>
      <c r="GW31">
        <v>1</v>
      </c>
      <c r="GX31">
        <f t="shared" si="54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15</v>
      </c>
      <c r="E32" t="s">
        <v>47</v>
      </c>
      <c r="F32" t="s">
        <v>48</v>
      </c>
      <c r="G32" t="s">
        <v>49</v>
      </c>
      <c r="H32" t="s">
        <v>50</v>
      </c>
      <c r="I32">
        <f>I31*J32</f>
        <v>6</v>
      </c>
      <c r="J32">
        <v>100</v>
      </c>
      <c r="O32">
        <f t="shared" si="21"/>
        <v>740.45</v>
      </c>
      <c r="P32">
        <f t="shared" si="22"/>
        <v>740.45</v>
      </c>
      <c r="Q32">
        <f t="shared" si="23"/>
        <v>0</v>
      </c>
      <c r="R32">
        <f t="shared" si="24"/>
        <v>0</v>
      </c>
      <c r="S32">
        <f t="shared" si="25"/>
        <v>0</v>
      </c>
      <c r="T32">
        <f t="shared" si="26"/>
        <v>0</v>
      </c>
      <c r="U32">
        <f t="shared" si="27"/>
        <v>0</v>
      </c>
      <c r="V32">
        <f t="shared" si="28"/>
        <v>0</v>
      </c>
      <c r="W32">
        <f t="shared" si="29"/>
        <v>0</v>
      </c>
      <c r="X32">
        <f t="shared" si="30"/>
        <v>0</v>
      </c>
      <c r="Y32">
        <f t="shared" si="31"/>
        <v>0</v>
      </c>
      <c r="AA32">
        <v>39616881</v>
      </c>
      <c r="AB32">
        <f t="shared" si="32"/>
        <v>18.670000000000002</v>
      </c>
      <c r="AC32">
        <f t="shared" si="33"/>
        <v>18.670000000000002</v>
      </c>
      <c r="AD32">
        <f>ROUND((((ET32)-(EU32))+AE32),2)</f>
        <v>0</v>
      </c>
      <c r="AE32">
        <f t="shared" si="55"/>
        <v>0</v>
      </c>
      <c r="AF32">
        <f t="shared" si="55"/>
        <v>0</v>
      </c>
      <c r="AG32">
        <f t="shared" si="34"/>
        <v>0</v>
      </c>
      <c r="AH32">
        <f t="shared" si="56"/>
        <v>0</v>
      </c>
      <c r="AI32">
        <f t="shared" si="56"/>
        <v>0</v>
      </c>
      <c r="AJ32">
        <f t="shared" si="35"/>
        <v>0</v>
      </c>
      <c r="AK32">
        <v>18.670000000000002</v>
      </c>
      <c r="AL32">
        <v>18.670000000000002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103</v>
      </c>
      <c r="AU32">
        <v>60</v>
      </c>
      <c r="AV32">
        <v>1</v>
      </c>
      <c r="AW32">
        <v>1</v>
      </c>
      <c r="AZ32">
        <v>6.61</v>
      </c>
      <c r="BA32">
        <v>1</v>
      </c>
      <c r="BB32">
        <v>1</v>
      </c>
      <c r="BC32">
        <v>6.61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51</v>
      </c>
      <c r="BM32">
        <v>65010</v>
      </c>
      <c r="BN32">
        <v>0</v>
      </c>
      <c r="BO32" t="s">
        <v>3</v>
      </c>
      <c r="BP32">
        <v>0</v>
      </c>
      <c r="BQ32">
        <v>6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103</v>
      </c>
      <c r="CA32">
        <v>60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6"/>
        <v>740.45</v>
      </c>
      <c r="CQ32">
        <f t="shared" si="37"/>
        <v>123.40870000000001</v>
      </c>
      <c r="CR32">
        <f t="shared" si="38"/>
        <v>0</v>
      </c>
      <c r="CS32">
        <f t="shared" si="39"/>
        <v>0</v>
      </c>
      <c r="CT32">
        <f t="shared" si="40"/>
        <v>0</v>
      </c>
      <c r="CU32">
        <f t="shared" si="41"/>
        <v>0</v>
      </c>
      <c r="CV32">
        <f t="shared" si="42"/>
        <v>0</v>
      </c>
      <c r="CW32">
        <f t="shared" si="43"/>
        <v>0</v>
      </c>
      <c r="CX32">
        <f t="shared" si="44"/>
        <v>0</v>
      </c>
      <c r="CY32">
        <f t="shared" si="45"/>
        <v>0</v>
      </c>
      <c r="CZ32">
        <f t="shared" si="46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50</v>
      </c>
      <c r="DW32" t="s">
        <v>50</v>
      </c>
      <c r="DX32">
        <v>1</v>
      </c>
      <c r="EE32">
        <v>39174605</v>
      </c>
      <c r="EF32">
        <v>6</v>
      </c>
      <c r="EG32" t="s">
        <v>19</v>
      </c>
      <c r="EH32">
        <v>0</v>
      </c>
      <c r="EI32" t="s">
        <v>3</v>
      </c>
      <c r="EJ32">
        <v>1</v>
      </c>
      <c r="EK32">
        <v>65010</v>
      </c>
      <c r="EL32" t="s">
        <v>45</v>
      </c>
      <c r="EM32" t="s">
        <v>46</v>
      </c>
      <c r="EO32" t="s">
        <v>3</v>
      </c>
      <c r="EQ32">
        <v>0</v>
      </c>
      <c r="ER32">
        <v>18.670000000000002</v>
      </c>
      <c r="ES32">
        <v>18.670000000000002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7"/>
        <v>0</v>
      </c>
      <c r="FS32">
        <v>0</v>
      </c>
      <c r="FX32">
        <v>103</v>
      </c>
      <c r="FY32">
        <v>60</v>
      </c>
      <c r="GA32" t="s">
        <v>3</v>
      </c>
      <c r="GD32">
        <v>0</v>
      </c>
      <c r="GF32">
        <v>1373721848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8"/>
        <v>0</v>
      </c>
      <c r="GM32">
        <f t="shared" si="49"/>
        <v>740.45</v>
      </c>
      <c r="GN32">
        <f t="shared" si="50"/>
        <v>740.45</v>
      </c>
      <c r="GO32">
        <f t="shared" si="51"/>
        <v>0</v>
      </c>
      <c r="GP32">
        <f t="shared" si="52"/>
        <v>0</v>
      </c>
      <c r="GR32">
        <v>0</v>
      </c>
      <c r="GS32">
        <v>3</v>
      </c>
      <c r="GT32">
        <v>0</v>
      </c>
      <c r="GU32" t="s">
        <v>3</v>
      </c>
      <c r="GV32">
        <f t="shared" si="53"/>
        <v>0</v>
      </c>
      <c r="GW32">
        <v>1</v>
      </c>
      <c r="GX32">
        <f t="shared" si="54"/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16</v>
      </c>
      <c r="E33" t="s">
        <v>52</v>
      </c>
      <c r="F33" t="s">
        <v>53</v>
      </c>
      <c r="G33" t="s">
        <v>54</v>
      </c>
      <c r="H33" t="s">
        <v>50</v>
      </c>
      <c r="I33">
        <f>I31*J33</f>
        <v>6</v>
      </c>
      <c r="J33">
        <v>100</v>
      </c>
      <c r="O33">
        <f t="shared" si="21"/>
        <v>0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0</v>
      </c>
      <c r="T33">
        <f t="shared" si="26"/>
        <v>0</v>
      </c>
      <c r="U33">
        <f t="shared" si="27"/>
        <v>0</v>
      </c>
      <c r="V33">
        <f t="shared" si="28"/>
        <v>0</v>
      </c>
      <c r="W33">
        <f t="shared" si="29"/>
        <v>0</v>
      </c>
      <c r="X33">
        <f t="shared" si="30"/>
        <v>0</v>
      </c>
      <c r="Y33">
        <f t="shared" si="31"/>
        <v>0</v>
      </c>
      <c r="AA33">
        <v>39616881</v>
      </c>
      <c r="AB33">
        <f t="shared" si="32"/>
        <v>0</v>
      </c>
      <c r="AC33">
        <f t="shared" si="33"/>
        <v>0</v>
      </c>
      <c r="AD33">
        <f>ROUND((((ET33)-(EU33))+AE33),2)</f>
        <v>0</v>
      </c>
      <c r="AE33">
        <f t="shared" si="55"/>
        <v>0</v>
      </c>
      <c r="AF33">
        <f t="shared" si="55"/>
        <v>0</v>
      </c>
      <c r="AG33">
        <f t="shared" si="34"/>
        <v>0</v>
      </c>
      <c r="AH33">
        <f t="shared" si="56"/>
        <v>0</v>
      </c>
      <c r="AI33">
        <f t="shared" si="56"/>
        <v>0</v>
      </c>
      <c r="AJ33">
        <f t="shared" si="35"/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103</v>
      </c>
      <c r="AU33">
        <v>60</v>
      </c>
      <c r="AV33">
        <v>1</v>
      </c>
      <c r="AW33">
        <v>1</v>
      </c>
      <c r="AZ33">
        <v>6.61</v>
      </c>
      <c r="BA33">
        <v>1</v>
      </c>
      <c r="BB33">
        <v>1</v>
      </c>
      <c r="BC33">
        <v>6.61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1</v>
      </c>
      <c r="BJ33" t="s">
        <v>3</v>
      </c>
      <c r="BM33">
        <v>65010</v>
      </c>
      <c r="BN33">
        <v>0</v>
      </c>
      <c r="BO33" t="s">
        <v>3</v>
      </c>
      <c r="BP33">
        <v>0</v>
      </c>
      <c r="BQ33">
        <v>6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103</v>
      </c>
      <c r="CA33">
        <v>60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6"/>
        <v>0</v>
      </c>
      <c r="CQ33">
        <f t="shared" si="37"/>
        <v>0</v>
      </c>
      <c r="CR33">
        <f t="shared" si="38"/>
        <v>0</v>
      </c>
      <c r="CS33">
        <f t="shared" si="39"/>
        <v>0</v>
      </c>
      <c r="CT33">
        <f t="shared" si="40"/>
        <v>0</v>
      </c>
      <c r="CU33">
        <f t="shared" si="41"/>
        <v>0</v>
      </c>
      <c r="CV33">
        <f t="shared" si="42"/>
        <v>0</v>
      </c>
      <c r="CW33">
        <f t="shared" si="43"/>
        <v>0</v>
      </c>
      <c r="CX33">
        <f t="shared" si="44"/>
        <v>0</v>
      </c>
      <c r="CY33">
        <f t="shared" si="45"/>
        <v>0</v>
      </c>
      <c r="CZ33">
        <f t="shared" si="46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1010</v>
      </c>
      <c r="DV33" t="s">
        <v>50</v>
      </c>
      <c r="DW33" t="s">
        <v>50</v>
      </c>
      <c r="DX33">
        <v>1</v>
      </c>
      <c r="EE33">
        <v>39174605</v>
      </c>
      <c r="EF33">
        <v>6</v>
      </c>
      <c r="EG33" t="s">
        <v>19</v>
      </c>
      <c r="EH33">
        <v>0</v>
      </c>
      <c r="EI33" t="s">
        <v>3</v>
      </c>
      <c r="EJ33">
        <v>1</v>
      </c>
      <c r="EK33">
        <v>65010</v>
      </c>
      <c r="EL33" t="s">
        <v>45</v>
      </c>
      <c r="EM33" t="s">
        <v>46</v>
      </c>
      <c r="EO33" t="s">
        <v>3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7"/>
        <v>0</v>
      </c>
      <c r="FS33">
        <v>0</v>
      </c>
      <c r="FX33">
        <v>103</v>
      </c>
      <c r="FY33">
        <v>60</v>
      </c>
      <c r="GA33" t="s">
        <v>3</v>
      </c>
      <c r="GD33">
        <v>0</v>
      </c>
      <c r="GF33">
        <v>-698526538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8"/>
        <v>0</v>
      </c>
      <c r="GM33">
        <f t="shared" si="49"/>
        <v>0</v>
      </c>
      <c r="GN33">
        <f t="shared" si="50"/>
        <v>0</v>
      </c>
      <c r="GO33">
        <f t="shared" si="51"/>
        <v>0</v>
      </c>
      <c r="GP33">
        <f t="shared" si="52"/>
        <v>0</v>
      </c>
      <c r="GR33">
        <v>0</v>
      </c>
      <c r="GS33">
        <v>3</v>
      </c>
      <c r="GT33">
        <v>0</v>
      </c>
      <c r="GU33" t="s">
        <v>3</v>
      </c>
      <c r="GV33">
        <f t="shared" si="53"/>
        <v>0</v>
      </c>
      <c r="GW33">
        <v>1</v>
      </c>
      <c r="GX33">
        <f t="shared" si="54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ROW(SmtRes!A22)</f>
        <v>22</v>
      </c>
      <c r="D34">
        <f>ROW(EtalonRes!A24)</f>
        <v>24</v>
      </c>
      <c r="E34" t="s">
        <v>55</v>
      </c>
      <c r="F34" t="s">
        <v>56</v>
      </c>
      <c r="G34" t="s">
        <v>57</v>
      </c>
      <c r="H34" t="s">
        <v>25</v>
      </c>
      <c r="I34">
        <f>ROUND(120.6/100,9)</f>
        <v>1.206</v>
      </c>
      <c r="J34">
        <v>0</v>
      </c>
      <c r="O34">
        <f t="shared" si="21"/>
        <v>29957.97</v>
      </c>
      <c r="P34">
        <f t="shared" si="22"/>
        <v>27365.83</v>
      </c>
      <c r="Q34">
        <f t="shared" si="23"/>
        <v>66.88</v>
      </c>
      <c r="R34">
        <f t="shared" si="24"/>
        <v>18.18</v>
      </c>
      <c r="S34">
        <f t="shared" si="25"/>
        <v>2525.2600000000002</v>
      </c>
      <c r="T34">
        <f t="shared" si="26"/>
        <v>0</v>
      </c>
      <c r="U34">
        <f t="shared" si="27"/>
        <v>45.972719999999995</v>
      </c>
      <c r="V34">
        <f t="shared" si="28"/>
        <v>0.21708</v>
      </c>
      <c r="W34">
        <f t="shared" si="29"/>
        <v>0</v>
      </c>
      <c r="X34">
        <f t="shared" si="30"/>
        <v>2034.75</v>
      </c>
      <c r="Y34">
        <f t="shared" si="31"/>
        <v>1729.54</v>
      </c>
      <c r="AA34">
        <v>39616881</v>
      </c>
      <c r="AB34">
        <f t="shared" si="32"/>
        <v>3758.06</v>
      </c>
      <c r="AC34">
        <f t="shared" si="33"/>
        <v>3432.89</v>
      </c>
      <c r="AD34">
        <f>ROUND((((ET34)-(EU34))+AE34),2)</f>
        <v>8.39</v>
      </c>
      <c r="AE34">
        <f t="shared" si="55"/>
        <v>2.2799999999999998</v>
      </c>
      <c r="AF34">
        <f t="shared" si="55"/>
        <v>316.77999999999997</v>
      </c>
      <c r="AG34">
        <f t="shared" si="34"/>
        <v>0</v>
      </c>
      <c r="AH34">
        <f t="shared" si="56"/>
        <v>38.119999999999997</v>
      </c>
      <c r="AI34">
        <f t="shared" si="56"/>
        <v>0.18</v>
      </c>
      <c r="AJ34">
        <f t="shared" si="35"/>
        <v>0</v>
      </c>
      <c r="AK34">
        <v>3758.06</v>
      </c>
      <c r="AL34">
        <v>3432.89</v>
      </c>
      <c r="AM34">
        <v>8.39</v>
      </c>
      <c r="AN34">
        <v>2.2799999999999998</v>
      </c>
      <c r="AO34">
        <v>316.77999999999997</v>
      </c>
      <c r="AP34">
        <v>0</v>
      </c>
      <c r="AQ34">
        <v>38.119999999999997</v>
      </c>
      <c r="AR34">
        <v>0.18</v>
      </c>
      <c r="AS34">
        <v>0</v>
      </c>
      <c r="AT34">
        <v>80</v>
      </c>
      <c r="AU34">
        <v>68</v>
      </c>
      <c r="AV34">
        <v>1</v>
      </c>
      <c r="AW34">
        <v>1</v>
      </c>
      <c r="AZ34">
        <v>6.61</v>
      </c>
      <c r="BA34">
        <v>6.61</v>
      </c>
      <c r="BB34">
        <v>6.61</v>
      </c>
      <c r="BC34">
        <v>6.61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58</v>
      </c>
      <c r="BM34">
        <v>57001</v>
      </c>
      <c r="BN34">
        <v>0</v>
      </c>
      <c r="BO34" t="s">
        <v>3</v>
      </c>
      <c r="BP34">
        <v>0</v>
      </c>
      <c r="BQ34">
        <v>6</v>
      </c>
      <c r="BR34">
        <v>0</v>
      </c>
      <c r="BS34">
        <v>6.61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80</v>
      </c>
      <c r="CA34">
        <v>68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6"/>
        <v>29957.97</v>
      </c>
      <c r="CQ34">
        <f t="shared" si="37"/>
        <v>22691.402900000001</v>
      </c>
      <c r="CR34">
        <f t="shared" si="38"/>
        <v>55.457900000000009</v>
      </c>
      <c r="CS34">
        <f t="shared" si="39"/>
        <v>15.0708</v>
      </c>
      <c r="CT34">
        <f t="shared" si="40"/>
        <v>2093.9157999999998</v>
      </c>
      <c r="CU34">
        <f t="shared" si="41"/>
        <v>0</v>
      </c>
      <c r="CV34">
        <f t="shared" si="42"/>
        <v>38.119999999999997</v>
      </c>
      <c r="CW34">
        <f t="shared" si="43"/>
        <v>0.18</v>
      </c>
      <c r="CX34">
        <f t="shared" si="44"/>
        <v>0</v>
      </c>
      <c r="CY34">
        <f t="shared" si="45"/>
        <v>2034.7520000000002</v>
      </c>
      <c r="CZ34">
        <f t="shared" si="46"/>
        <v>1729.5392000000002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25</v>
      </c>
      <c r="DW34" t="s">
        <v>25</v>
      </c>
      <c r="DX34">
        <v>100</v>
      </c>
      <c r="EE34">
        <v>39174582</v>
      </c>
      <c r="EF34">
        <v>6</v>
      </c>
      <c r="EG34" t="s">
        <v>19</v>
      </c>
      <c r="EH34">
        <v>0</v>
      </c>
      <c r="EI34" t="s">
        <v>3</v>
      </c>
      <c r="EJ34">
        <v>1</v>
      </c>
      <c r="EK34">
        <v>57001</v>
      </c>
      <c r="EL34" t="s">
        <v>20</v>
      </c>
      <c r="EM34" t="s">
        <v>21</v>
      </c>
      <c r="EO34" t="s">
        <v>3</v>
      </c>
      <c r="EQ34">
        <v>0</v>
      </c>
      <c r="ER34">
        <v>3758.06</v>
      </c>
      <c r="ES34">
        <v>3432.89</v>
      </c>
      <c r="ET34">
        <v>8.39</v>
      </c>
      <c r="EU34">
        <v>2.2799999999999998</v>
      </c>
      <c r="EV34">
        <v>316.77999999999997</v>
      </c>
      <c r="EW34">
        <v>38.119999999999997</v>
      </c>
      <c r="EX34">
        <v>0.18</v>
      </c>
      <c r="EY34">
        <v>0</v>
      </c>
      <c r="FQ34">
        <v>0</v>
      </c>
      <c r="FR34">
        <f t="shared" si="47"/>
        <v>0</v>
      </c>
      <c r="FS34">
        <v>0</v>
      </c>
      <c r="FX34">
        <v>80</v>
      </c>
      <c r="FY34">
        <v>68</v>
      </c>
      <c r="GA34" t="s">
        <v>3</v>
      </c>
      <c r="GD34">
        <v>0</v>
      </c>
      <c r="GF34">
        <v>720178822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8"/>
        <v>0</v>
      </c>
      <c r="GM34">
        <f t="shared" si="49"/>
        <v>33722.26</v>
      </c>
      <c r="GN34">
        <f t="shared" si="50"/>
        <v>33722.26</v>
      </c>
      <c r="GO34">
        <f t="shared" si="51"/>
        <v>0</v>
      </c>
      <c r="GP34">
        <f t="shared" si="52"/>
        <v>0</v>
      </c>
      <c r="GR34">
        <v>0</v>
      </c>
      <c r="GS34">
        <v>3</v>
      </c>
      <c r="GT34">
        <v>0</v>
      </c>
      <c r="GU34" t="s">
        <v>3</v>
      </c>
      <c r="GV34">
        <f t="shared" si="53"/>
        <v>0</v>
      </c>
      <c r="GW34">
        <v>1</v>
      </c>
      <c r="GX34">
        <f t="shared" si="54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ROW(SmtRes!A30)</f>
        <v>30</v>
      </c>
      <c r="D35">
        <f>ROW(EtalonRes!A31)</f>
        <v>31</v>
      </c>
      <c r="E35" t="s">
        <v>59</v>
      </c>
      <c r="F35" t="s">
        <v>60</v>
      </c>
      <c r="G35" t="s">
        <v>61</v>
      </c>
      <c r="H35" t="s">
        <v>25</v>
      </c>
      <c r="I35">
        <f>ROUND(120.6/100,9)</f>
        <v>1.206</v>
      </c>
      <c r="J35">
        <v>0</v>
      </c>
      <c r="O35">
        <f t="shared" si="21"/>
        <v>3673.74</v>
      </c>
      <c r="P35">
        <f t="shared" si="22"/>
        <v>7.25</v>
      </c>
      <c r="Q35">
        <f t="shared" si="23"/>
        <v>436.45</v>
      </c>
      <c r="R35">
        <f t="shared" si="24"/>
        <v>104.91</v>
      </c>
      <c r="S35">
        <f t="shared" si="25"/>
        <v>3230.04</v>
      </c>
      <c r="T35">
        <f t="shared" si="26"/>
        <v>0</v>
      </c>
      <c r="U35">
        <f t="shared" si="27"/>
        <v>58.804559999999995</v>
      </c>
      <c r="V35">
        <f t="shared" si="28"/>
        <v>1.2813749999999999</v>
      </c>
      <c r="W35">
        <f t="shared" si="29"/>
        <v>0</v>
      </c>
      <c r="X35">
        <f t="shared" si="30"/>
        <v>3701.79</v>
      </c>
      <c r="Y35">
        <f t="shared" si="31"/>
        <v>2134.37</v>
      </c>
      <c r="AA35">
        <v>39616881</v>
      </c>
      <c r="AB35">
        <f t="shared" si="32"/>
        <v>460.85</v>
      </c>
      <c r="AC35">
        <f t="shared" si="33"/>
        <v>0.91</v>
      </c>
      <c r="AD35">
        <f>ROUND(((((ET35*1.25))-((EU35*1.25)))+AE35),2)</f>
        <v>54.75</v>
      </c>
      <c r="AE35">
        <f>ROUND(((EU35*1.25)),2)</f>
        <v>13.16</v>
      </c>
      <c r="AF35">
        <f>ROUND(((EV35*1.15)),2)</f>
        <v>405.19</v>
      </c>
      <c r="AG35">
        <f t="shared" si="34"/>
        <v>0</v>
      </c>
      <c r="AH35">
        <f>((EW35*1.15))</f>
        <v>48.76</v>
      </c>
      <c r="AI35">
        <f>((EX35*1.25))</f>
        <v>1.0625</v>
      </c>
      <c r="AJ35">
        <f t="shared" si="35"/>
        <v>0</v>
      </c>
      <c r="AK35">
        <v>397.05</v>
      </c>
      <c r="AL35">
        <v>0.91</v>
      </c>
      <c r="AM35">
        <v>43.8</v>
      </c>
      <c r="AN35">
        <v>10.53</v>
      </c>
      <c r="AO35">
        <v>352.34</v>
      </c>
      <c r="AP35">
        <v>0</v>
      </c>
      <c r="AQ35">
        <v>42.4</v>
      </c>
      <c r="AR35">
        <v>0.85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6.61</v>
      </c>
      <c r="BA35">
        <v>6.61</v>
      </c>
      <c r="BB35">
        <v>6.61</v>
      </c>
      <c r="BC35">
        <v>6.61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62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6.61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31</v>
      </c>
      <c r="CO35">
        <v>0</v>
      </c>
      <c r="CP35">
        <f t="shared" si="36"/>
        <v>3673.74</v>
      </c>
      <c r="CQ35">
        <f t="shared" si="37"/>
        <v>6.0151000000000003</v>
      </c>
      <c r="CR35">
        <f t="shared" si="38"/>
        <v>361.89750000000004</v>
      </c>
      <c r="CS35">
        <f t="shared" si="39"/>
        <v>86.9876</v>
      </c>
      <c r="CT35">
        <f t="shared" si="40"/>
        <v>2678.3059000000003</v>
      </c>
      <c r="CU35">
        <f t="shared" si="41"/>
        <v>0</v>
      </c>
      <c r="CV35">
        <f t="shared" si="42"/>
        <v>48.76</v>
      </c>
      <c r="CW35">
        <f t="shared" si="43"/>
        <v>1.0625</v>
      </c>
      <c r="CX35">
        <f t="shared" si="44"/>
        <v>0</v>
      </c>
      <c r="CY35">
        <f t="shared" si="45"/>
        <v>3701.7944999999995</v>
      </c>
      <c r="CZ35">
        <f t="shared" si="46"/>
        <v>2134.3679999999999</v>
      </c>
      <c r="DC35" t="s">
        <v>3</v>
      </c>
      <c r="DD35" t="s">
        <v>3</v>
      </c>
      <c r="DE35" t="s">
        <v>32</v>
      </c>
      <c r="DF35" t="s">
        <v>32</v>
      </c>
      <c r="DG35" t="s">
        <v>33</v>
      </c>
      <c r="DH35" t="s">
        <v>3</v>
      </c>
      <c r="DI35" t="s">
        <v>33</v>
      </c>
      <c r="DJ35" t="s">
        <v>32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25</v>
      </c>
      <c r="DW35" t="s">
        <v>25</v>
      </c>
      <c r="DX35">
        <v>100</v>
      </c>
      <c r="EE35">
        <v>39174504</v>
      </c>
      <c r="EF35">
        <v>2</v>
      </c>
      <c r="EG35" t="s">
        <v>34</v>
      </c>
      <c r="EH35">
        <v>0</v>
      </c>
      <c r="EI35" t="s">
        <v>3</v>
      </c>
      <c r="EJ35">
        <v>1</v>
      </c>
      <c r="EK35">
        <v>11001</v>
      </c>
      <c r="EL35" t="s">
        <v>20</v>
      </c>
      <c r="EM35" t="s">
        <v>63</v>
      </c>
      <c r="EO35" t="s">
        <v>37</v>
      </c>
      <c r="EQ35">
        <v>0</v>
      </c>
      <c r="ER35">
        <v>397.05</v>
      </c>
      <c r="ES35">
        <v>0.91</v>
      </c>
      <c r="ET35">
        <v>43.8</v>
      </c>
      <c r="EU35">
        <v>10.53</v>
      </c>
      <c r="EV35">
        <v>352.34</v>
      </c>
      <c r="EW35">
        <v>42.4</v>
      </c>
      <c r="EX35">
        <v>0.85</v>
      </c>
      <c r="EY35">
        <v>0</v>
      </c>
      <c r="FQ35">
        <v>0</v>
      </c>
      <c r="FR35">
        <f t="shared" si="47"/>
        <v>0</v>
      </c>
      <c r="FS35">
        <v>0</v>
      </c>
      <c r="FT35" t="s">
        <v>38</v>
      </c>
      <c r="FU35" t="s">
        <v>39</v>
      </c>
      <c r="FX35">
        <v>110.7</v>
      </c>
      <c r="FY35">
        <v>63.75</v>
      </c>
      <c r="GA35" t="s">
        <v>3</v>
      </c>
      <c r="GD35">
        <v>0</v>
      </c>
      <c r="GF35">
        <v>35623097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8"/>
        <v>0</v>
      </c>
      <c r="GM35">
        <f t="shared" si="49"/>
        <v>9509.9</v>
      </c>
      <c r="GN35">
        <f t="shared" si="50"/>
        <v>9509.9</v>
      </c>
      <c r="GO35">
        <f t="shared" si="51"/>
        <v>0</v>
      </c>
      <c r="GP35">
        <f t="shared" si="52"/>
        <v>0</v>
      </c>
      <c r="GR35">
        <v>0</v>
      </c>
      <c r="GS35">
        <v>3</v>
      </c>
      <c r="GT35">
        <v>0</v>
      </c>
      <c r="GU35" t="s">
        <v>3</v>
      </c>
      <c r="GV35">
        <f t="shared" si="53"/>
        <v>0</v>
      </c>
      <c r="GW35">
        <v>1</v>
      </c>
      <c r="GX35">
        <f t="shared" si="54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27</v>
      </c>
      <c r="E36" t="s">
        <v>64</v>
      </c>
      <c r="F36" t="s">
        <v>65</v>
      </c>
      <c r="G36" t="s">
        <v>66</v>
      </c>
      <c r="H36" t="s">
        <v>67</v>
      </c>
      <c r="I36">
        <f>I35*J36</f>
        <v>123.012</v>
      </c>
      <c r="J36">
        <v>102</v>
      </c>
      <c r="O36">
        <f t="shared" si="21"/>
        <v>147441.10999999999</v>
      </c>
      <c r="P36">
        <f t="shared" si="22"/>
        <v>147441.10999999999</v>
      </c>
      <c r="Q36">
        <f t="shared" si="23"/>
        <v>0</v>
      </c>
      <c r="R36">
        <f t="shared" si="24"/>
        <v>0</v>
      </c>
      <c r="S36">
        <f t="shared" si="25"/>
        <v>0</v>
      </c>
      <c r="T36">
        <f t="shared" si="26"/>
        <v>0</v>
      </c>
      <c r="U36">
        <f t="shared" si="27"/>
        <v>0</v>
      </c>
      <c r="V36">
        <f t="shared" si="28"/>
        <v>0</v>
      </c>
      <c r="W36">
        <f t="shared" si="29"/>
        <v>0</v>
      </c>
      <c r="X36">
        <f t="shared" si="30"/>
        <v>0</v>
      </c>
      <c r="Y36">
        <f t="shared" si="31"/>
        <v>0</v>
      </c>
      <c r="AA36">
        <v>39616881</v>
      </c>
      <c r="AB36">
        <f t="shared" si="32"/>
        <v>181.33</v>
      </c>
      <c r="AC36">
        <f t="shared" si="33"/>
        <v>181.33</v>
      </c>
      <c r="AD36">
        <f>ROUND((((ET36)-(EU36))+AE36),2)</f>
        <v>0</v>
      </c>
      <c r="AE36">
        <f t="shared" ref="AE36:AF38" si="57">ROUND((EU36),2)</f>
        <v>0</v>
      </c>
      <c r="AF36">
        <f t="shared" si="57"/>
        <v>0</v>
      </c>
      <c r="AG36">
        <f t="shared" si="34"/>
        <v>0</v>
      </c>
      <c r="AH36">
        <f t="shared" ref="AH36:AI38" si="58">(EW36)</f>
        <v>0</v>
      </c>
      <c r="AI36">
        <f t="shared" si="58"/>
        <v>0</v>
      </c>
      <c r="AJ36">
        <f t="shared" si="35"/>
        <v>0</v>
      </c>
      <c r="AK36">
        <v>181.33</v>
      </c>
      <c r="AL36">
        <v>181.33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111</v>
      </c>
      <c r="AU36">
        <v>64</v>
      </c>
      <c r="AV36">
        <v>1</v>
      </c>
      <c r="AW36">
        <v>1</v>
      </c>
      <c r="AZ36">
        <v>6.61</v>
      </c>
      <c r="BA36">
        <v>1</v>
      </c>
      <c r="BB36">
        <v>1</v>
      </c>
      <c r="BC36">
        <v>6.61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68</v>
      </c>
      <c r="BM36">
        <v>11001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123</v>
      </c>
      <c r="CA36">
        <v>75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6"/>
        <v>147441.10999999999</v>
      </c>
      <c r="CQ36">
        <f t="shared" si="37"/>
        <v>1198.5913</v>
      </c>
      <c r="CR36">
        <f t="shared" si="38"/>
        <v>0</v>
      </c>
      <c r="CS36">
        <f t="shared" si="39"/>
        <v>0</v>
      </c>
      <c r="CT36">
        <f t="shared" si="40"/>
        <v>0</v>
      </c>
      <c r="CU36">
        <f t="shared" si="41"/>
        <v>0</v>
      </c>
      <c r="CV36">
        <f t="shared" si="42"/>
        <v>0</v>
      </c>
      <c r="CW36">
        <f t="shared" si="43"/>
        <v>0</v>
      </c>
      <c r="CX36">
        <f t="shared" si="44"/>
        <v>0</v>
      </c>
      <c r="CY36">
        <f t="shared" si="45"/>
        <v>0</v>
      </c>
      <c r="CZ36">
        <f t="shared" si="46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67</v>
      </c>
      <c r="DW36" t="s">
        <v>67</v>
      </c>
      <c r="DX36">
        <v>1</v>
      </c>
      <c r="EE36">
        <v>39174504</v>
      </c>
      <c r="EF36">
        <v>2</v>
      </c>
      <c r="EG36" t="s">
        <v>34</v>
      </c>
      <c r="EH36">
        <v>0</v>
      </c>
      <c r="EI36" t="s">
        <v>3</v>
      </c>
      <c r="EJ36">
        <v>1</v>
      </c>
      <c r="EK36">
        <v>11001</v>
      </c>
      <c r="EL36" t="s">
        <v>20</v>
      </c>
      <c r="EM36" t="s">
        <v>63</v>
      </c>
      <c r="EO36" t="s">
        <v>3</v>
      </c>
      <c r="EQ36">
        <v>0</v>
      </c>
      <c r="ER36">
        <v>181.33</v>
      </c>
      <c r="ES36">
        <v>181.33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7"/>
        <v>0</v>
      </c>
      <c r="FS36">
        <v>0</v>
      </c>
      <c r="FT36" t="s">
        <v>38</v>
      </c>
      <c r="FU36" t="s">
        <v>39</v>
      </c>
      <c r="FX36">
        <v>110.7</v>
      </c>
      <c r="FY36">
        <v>63.75</v>
      </c>
      <c r="GA36" t="s">
        <v>3</v>
      </c>
      <c r="GD36">
        <v>0</v>
      </c>
      <c r="GF36">
        <v>-1380946276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8"/>
        <v>0</v>
      </c>
      <c r="GM36">
        <f t="shared" si="49"/>
        <v>147441.10999999999</v>
      </c>
      <c r="GN36">
        <f t="shared" si="50"/>
        <v>147441.10999999999</v>
      </c>
      <c r="GO36">
        <f t="shared" si="51"/>
        <v>0</v>
      </c>
      <c r="GP36">
        <f t="shared" si="52"/>
        <v>0</v>
      </c>
      <c r="GR36">
        <v>0</v>
      </c>
      <c r="GS36">
        <v>3</v>
      </c>
      <c r="GT36">
        <v>0</v>
      </c>
      <c r="GU36" t="s">
        <v>3</v>
      </c>
      <c r="GV36">
        <f t="shared" si="53"/>
        <v>0</v>
      </c>
      <c r="GW36">
        <v>1</v>
      </c>
      <c r="GX36">
        <f t="shared" si="54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29</v>
      </c>
      <c r="E37" t="s">
        <v>69</v>
      </c>
      <c r="F37" t="s">
        <v>70</v>
      </c>
      <c r="G37" t="s">
        <v>71</v>
      </c>
      <c r="H37" t="s">
        <v>72</v>
      </c>
      <c r="I37">
        <f>I35*J37</f>
        <v>6.0299999999999999E-2</v>
      </c>
      <c r="J37">
        <v>0.05</v>
      </c>
      <c r="O37">
        <f t="shared" si="21"/>
        <v>6337.47</v>
      </c>
      <c r="P37">
        <f t="shared" si="22"/>
        <v>6337.47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39616881</v>
      </c>
      <c r="AB37">
        <f t="shared" si="32"/>
        <v>15900</v>
      </c>
      <c r="AC37">
        <f t="shared" si="33"/>
        <v>15900</v>
      </c>
      <c r="AD37">
        <f>ROUND((((ET37)-(EU37))+AE37),2)</f>
        <v>0</v>
      </c>
      <c r="AE37">
        <f t="shared" si="57"/>
        <v>0</v>
      </c>
      <c r="AF37">
        <f t="shared" si="57"/>
        <v>0</v>
      </c>
      <c r="AG37">
        <f t="shared" si="34"/>
        <v>0</v>
      </c>
      <c r="AH37">
        <f t="shared" si="58"/>
        <v>0</v>
      </c>
      <c r="AI37">
        <f t="shared" si="58"/>
        <v>0</v>
      </c>
      <c r="AJ37">
        <f t="shared" si="35"/>
        <v>0</v>
      </c>
      <c r="AK37">
        <v>15900</v>
      </c>
      <c r="AL37">
        <v>15900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6.61</v>
      </c>
      <c r="BA37">
        <v>1</v>
      </c>
      <c r="BB37">
        <v>1</v>
      </c>
      <c r="BC37">
        <v>6.61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73</v>
      </c>
      <c r="BM37">
        <v>11001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6"/>
        <v>6337.47</v>
      </c>
      <c r="CQ37">
        <f t="shared" si="37"/>
        <v>105099</v>
      </c>
      <c r="CR37">
        <f t="shared" si="38"/>
        <v>0</v>
      </c>
      <c r="CS37">
        <f t="shared" si="39"/>
        <v>0</v>
      </c>
      <c r="CT37">
        <f t="shared" si="40"/>
        <v>0</v>
      </c>
      <c r="CU37">
        <f t="shared" si="41"/>
        <v>0</v>
      </c>
      <c r="CV37">
        <f t="shared" si="42"/>
        <v>0</v>
      </c>
      <c r="CW37">
        <f t="shared" si="43"/>
        <v>0</v>
      </c>
      <c r="CX37">
        <f t="shared" si="44"/>
        <v>0</v>
      </c>
      <c r="CY37">
        <f t="shared" si="45"/>
        <v>0</v>
      </c>
      <c r="CZ37">
        <f t="shared" si="46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72</v>
      </c>
      <c r="DW37" t="s">
        <v>72</v>
      </c>
      <c r="DX37">
        <v>1000</v>
      </c>
      <c r="EE37">
        <v>39174504</v>
      </c>
      <c r="EF37">
        <v>2</v>
      </c>
      <c r="EG37" t="s">
        <v>34</v>
      </c>
      <c r="EH37">
        <v>0</v>
      </c>
      <c r="EI37" t="s">
        <v>3</v>
      </c>
      <c r="EJ37">
        <v>1</v>
      </c>
      <c r="EK37">
        <v>11001</v>
      </c>
      <c r="EL37" t="s">
        <v>20</v>
      </c>
      <c r="EM37" t="s">
        <v>63</v>
      </c>
      <c r="EO37" t="s">
        <v>3</v>
      </c>
      <c r="EQ37">
        <v>0</v>
      </c>
      <c r="ER37">
        <v>15900</v>
      </c>
      <c r="ES37">
        <v>15900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7"/>
        <v>0</v>
      </c>
      <c r="FS37">
        <v>0</v>
      </c>
      <c r="FT37" t="s">
        <v>38</v>
      </c>
      <c r="FU37" t="s">
        <v>39</v>
      </c>
      <c r="FX37">
        <v>110.7</v>
      </c>
      <c r="FY37">
        <v>63.75</v>
      </c>
      <c r="GA37" t="s">
        <v>3</v>
      </c>
      <c r="GD37">
        <v>0</v>
      </c>
      <c r="GF37">
        <v>1767657972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8"/>
        <v>0</v>
      </c>
      <c r="GM37">
        <f t="shared" si="49"/>
        <v>6337.47</v>
      </c>
      <c r="GN37">
        <f t="shared" si="50"/>
        <v>6337.47</v>
      </c>
      <c r="GO37">
        <f t="shared" si="51"/>
        <v>0</v>
      </c>
      <c r="GP37">
        <f t="shared" si="52"/>
        <v>0</v>
      </c>
      <c r="GR37">
        <v>0</v>
      </c>
      <c r="GS37">
        <v>3</v>
      </c>
      <c r="GT37">
        <v>0</v>
      </c>
      <c r="GU37" t="s">
        <v>3</v>
      </c>
      <c r="GV37">
        <f t="shared" si="53"/>
        <v>0</v>
      </c>
      <c r="GW37">
        <v>1</v>
      </c>
      <c r="GX37">
        <f t="shared" si="54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30</v>
      </c>
      <c r="E38" t="s">
        <v>74</v>
      </c>
      <c r="F38" t="s">
        <v>75</v>
      </c>
      <c r="G38" t="s">
        <v>76</v>
      </c>
      <c r="H38" t="s">
        <v>77</v>
      </c>
      <c r="I38">
        <f>I35*J38</f>
        <v>60.3</v>
      </c>
      <c r="J38">
        <v>50</v>
      </c>
      <c r="O38">
        <f t="shared" si="21"/>
        <v>0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0</v>
      </c>
      <c r="T38">
        <f t="shared" si="26"/>
        <v>0</v>
      </c>
      <c r="U38">
        <f t="shared" si="27"/>
        <v>0</v>
      </c>
      <c r="V38">
        <f t="shared" si="28"/>
        <v>0</v>
      </c>
      <c r="W38">
        <f t="shared" si="29"/>
        <v>0</v>
      </c>
      <c r="X38">
        <f t="shared" si="30"/>
        <v>0</v>
      </c>
      <c r="Y38">
        <f t="shared" si="31"/>
        <v>0</v>
      </c>
      <c r="AA38">
        <v>39616881</v>
      </c>
      <c r="AB38">
        <f t="shared" si="32"/>
        <v>0</v>
      </c>
      <c r="AC38">
        <f t="shared" si="33"/>
        <v>0</v>
      </c>
      <c r="AD38">
        <f>ROUND((((ET38)-(EU38))+AE38),2)</f>
        <v>0</v>
      </c>
      <c r="AE38">
        <f t="shared" si="57"/>
        <v>0</v>
      </c>
      <c r="AF38">
        <f t="shared" si="57"/>
        <v>0</v>
      </c>
      <c r="AG38">
        <f t="shared" si="34"/>
        <v>0</v>
      </c>
      <c r="AH38">
        <f t="shared" si="58"/>
        <v>0</v>
      </c>
      <c r="AI38">
        <f t="shared" si="58"/>
        <v>0</v>
      </c>
      <c r="AJ38">
        <f t="shared" si="35"/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111</v>
      </c>
      <c r="AU38">
        <v>64</v>
      </c>
      <c r="AV38">
        <v>1</v>
      </c>
      <c r="AW38">
        <v>1</v>
      </c>
      <c r="AZ38">
        <v>6.61</v>
      </c>
      <c r="BA38">
        <v>1</v>
      </c>
      <c r="BB38">
        <v>1</v>
      </c>
      <c r="BC38">
        <v>6.61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3</v>
      </c>
      <c r="BM38">
        <v>11001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123</v>
      </c>
      <c r="CA38">
        <v>75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6"/>
        <v>0</v>
      </c>
      <c r="CQ38">
        <f t="shared" si="37"/>
        <v>0</v>
      </c>
      <c r="CR38">
        <f t="shared" si="38"/>
        <v>0</v>
      </c>
      <c r="CS38">
        <f t="shared" si="39"/>
        <v>0</v>
      </c>
      <c r="CT38">
        <f t="shared" si="40"/>
        <v>0</v>
      </c>
      <c r="CU38">
        <f t="shared" si="41"/>
        <v>0</v>
      </c>
      <c r="CV38">
        <f t="shared" si="42"/>
        <v>0</v>
      </c>
      <c r="CW38">
        <f t="shared" si="43"/>
        <v>0</v>
      </c>
      <c r="CX38">
        <f t="shared" si="44"/>
        <v>0</v>
      </c>
      <c r="CY38">
        <f t="shared" si="45"/>
        <v>0</v>
      </c>
      <c r="CZ38">
        <f t="shared" si="46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77</v>
      </c>
      <c r="DW38" t="s">
        <v>77</v>
      </c>
      <c r="DX38">
        <v>1</v>
      </c>
      <c r="EE38">
        <v>39174504</v>
      </c>
      <c r="EF38">
        <v>2</v>
      </c>
      <c r="EG38" t="s">
        <v>34</v>
      </c>
      <c r="EH38">
        <v>0</v>
      </c>
      <c r="EI38" t="s">
        <v>3</v>
      </c>
      <c r="EJ38">
        <v>1</v>
      </c>
      <c r="EK38">
        <v>11001</v>
      </c>
      <c r="EL38" t="s">
        <v>20</v>
      </c>
      <c r="EM38" t="s">
        <v>63</v>
      </c>
      <c r="EO38" t="s">
        <v>3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47"/>
        <v>0</v>
      </c>
      <c r="FS38">
        <v>0</v>
      </c>
      <c r="FT38" t="s">
        <v>38</v>
      </c>
      <c r="FU38" t="s">
        <v>39</v>
      </c>
      <c r="FX38">
        <v>110.7</v>
      </c>
      <c r="FY38">
        <v>63.75</v>
      </c>
      <c r="GA38" t="s">
        <v>3</v>
      </c>
      <c r="GD38">
        <v>0</v>
      </c>
      <c r="GF38">
        <v>290394019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8"/>
        <v>0</v>
      </c>
      <c r="GM38">
        <f t="shared" si="49"/>
        <v>0</v>
      </c>
      <c r="GN38">
        <f t="shared" si="50"/>
        <v>0</v>
      </c>
      <c r="GO38">
        <f t="shared" si="51"/>
        <v>0</v>
      </c>
      <c r="GP38">
        <f t="shared" si="52"/>
        <v>0</v>
      </c>
      <c r="GR38">
        <v>0</v>
      </c>
      <c r="GS38">
        <v>3</v>
      </c>
      <c r="GT38">
        <v>0</v>
      </c>
      <c r="GU38" t="s">
        <v>3</v>
      </c>
      <c r="GV38">
        <f t="shared" si="53"/>
        <v>0</v>
      </c>
      <c r="GW38">
        <v>1</v>
      </c>
      <c r="GX38">
        <f t="shared" si="54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ROW(SmtRes!A42)</f>
        <v>42</v>
      </c>
      <c r="D39">
        <f>ROW(EtalonRes!A43)</f>
        <v>43</v>
      </c>
      <c r="E39" t="s">
        <v>78</v>
      </c>
      <c r="F39" t="s">
        <v>79</v>
      </c>
      <c r="G39" t="s">
        <v>80</v>
      </c>
      <c r="H39" t="s">
        <v>17</v>
      </c>
      <c r="I39">
        <f>ROUND(76.78/100,9)</f>
        <v>0.76780000000000004</v>
      </c>
      <c r="J39">
        <v>0</v>
      </c>
      <c r="O39">
        <f t="shared" si="21"/>
        <v>745.18</v>
      </c>
      <c r="P39">
        <f t="shared" si="22"/>
        <v>373.73</v>
      </c>
      <c r="Q39">
        <f t="shared" si="23"/>
        <v>13.55</v>
      </c>
      <c r="R39">
        <f t="shared" si="24"/>
        <v>2.69</v>
      </c>
      <c r="S39">
        <f t="shared" si="25"/>
        <v>357.9</v>
      </c>
      <c r="T39">
        <f t="shared" si="26"/>
        <v>0</v>
      </c>
      <c r="U39">
        <f t="shared" si="27"/>
        <v>5.8982396000000001</v>
      </c>
      <c r="V39">
        <f t="shared" si="28"/>
        <v>3.8390000000000007E-2</v>
      </c>
      <c r="W39">
        <f t="shared" si="29"/>
        <v>0</v>
      </c>
      <c r="X39">
        <f t="shared" si="30"/>
        <v>400.25</v>
      </c>
      <c r="Y39">
        <f t="shared" si="31"/>
        <v>230.78</v>
      </c>
      <c r="AA39">
        <v>39616881</v>
      </c>
      <c r="AB39">
        <f t="shared" si="32"/>
        <v>146.83000000000001</v>
      </c>
      <c r="AC39">
        <f t="shared" si="33"/>
        <v>73.64</v>
      </c>
      <c r="AD39">
        <f>ROUND(((((ET39*1.25))-((EU39*1.25)))+AE39),2)</f>
        <v>2.67</v>
      </c>
      <c r="AE39">
        <f>ROUND(((EU39*1.25)),2)</f>
        <v>0.53</v>
      </c>
      <c r="AF39">
        <f>ROUND(((EV39*1.15)),2)</f>
        <v>70.52</v>
      </c>
      <c r="AG39">
        <f t="shared" si="34"/>
        <v>0</v>
      </c>
      <c r="AH39">
        <f>((EW39*1.15))</f>
        <v>7.6819999999999995</v>
      </c>
      <c r="AI39">
        <f>((EX39*1.25))</f>
        <v>0.05</v>
      </c>
      <c r="AJ39">
        <f t="shared" si="35"/>
        <v>0</v>
      </c>
      <c r="AK39">
        <v>137.09</v>
      </c>
      <c r="AL39">
        <v>73.64</v>
      </c>
      <c r="AM39">
        <v>2.13</v>
      </c>
      <c r="AN39">
        <v>0.42</v>
      </c>
      <c r="AO39">
        <v>61.32</v>
      </c>
      <c r="AP39">
        <v>0</v>
      </c>
      <c r="AQ39">
        <v>6.68</v>
      </c>
      <c r="AR39">
        <v>0.04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6.61</v>
      </c>
      <c r="BA39">
        <v>6.61</v>
      </c>
      <c r="BB39">
        <v>6.61</v>
      </c>
      <c r="BC39">
        <v>6.61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81</v>
      </c>
      <c r="BM39">
        <v>11001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6.61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31</v>
      </c>
      <c r="CO39">
        <v>0</v>
      </c>
      <c r="CP39">
        <f t="shared" si="36"/>
        <v>745.18000000000006</v>
      </c>
      <c r="CQ39">
        <f t="shared" si="37"/>
        <v>486.7604</v>
      </c>
      <c r="CR39">
        <f t="shared" si="38"/>
        <v>17.648700000000002</v>
      </c>
      <c r="CS39">
        <f t="shared" si="39"/>
        <v>3.5033000000000003</v>
      </c>
      <c r="CT39">
        <f t="shared" si="40"/>
        <v>466.13720000000001</v>
      </c>
      <c r="CU39">
        <f t="shared" si="41"/>
        <v>0</v>
      </c>
      <c r="CV39">
        <f t="shared" si="42"/>
        <v>7.6819999999999995</v>
      </c>
      <c r="CW39">
        <f t="shared" si="43"/>
        <v>0.05</v>
      </c>
      <c r="CX39">
        <f t="shared" si="44"/>
        <v>0</v>
      </c>
      <c r="CY39">
        <f t="shared" si="45"/>
        <v>400.25489999999996</v>
      </c>
      <c r="CZ39">
        <f t="shared" si="46"/>
        <v>230.77759999999998</v>
      </c>
      <c r="DC39" t="s">
        <v>3</v>
      </c>
      <c r="DD39" t="s">
        <v>3</v>
      </c>
      <c r="DE39" t="s">
        <v>32</v>
      </c>
      <c r="DF39" t="s">
        <v>32</v>
      </c>
      <c r="DG39" t="s">
        <v>33</v>
      </c>
      <c r="DH39" t="s">
        <v>3</v>
      </c>
      <c r="DI39" t="s">
        <v>33</v>
      </c>
      <c r="DJ39" t="s">
        <v>32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17</v>
      </c>
      <c r="DW39" t="s">
        <v>17</v>
      </c>
      <c r="DX39">
        <v>100</v>
      </c>
      <c r="EE39">
        <v>39174504</v>
      </c>
      <c r="EF39">
        <v>2</v>
      </c>
      <c r="EG39" t="s">
        <v>34</v>
      </c>
      <c r="EH39">
        <v>0</v>
      </c>
      <c r="EI39" t="s">
        <v>3</v>
      </c>
      <c r="EJ39">
        <v>1</v>
      </c>
      <c r="EK39">
        <v>11001</v>
      </c>
      <c r="EL39" t="s">
        <v>20</v>
      </c>
      <c r="EM39" t="s">
        <v>63</v>
      </c>
      <c r="EO39" t="s">
        <v>37</v>
      </c>
      <c r="EQ39">
        <v>0</v>
      </c>
      <c r="ER39">
        <v>137.09</v>
      </c>
      <c r="ES39">
        <v>73.64</v>
      </c>
      <c r="ET39">
        <v>2.13</v>
      </c>
      <c r="EU39">
        <v>0.42</v>
      </c>
      <c r="EV39">
        <v>61.32</v>
      </c>
      <c r="EW39">
        <v>6.68</v>
      </c>
      <c r="EX39">
        <v>0.04</v>
      </c>
      <c r="EY39">
        <v>0</v>
      </c>
      <c r="FQ39">
        <v>0</v>
      </c>
      <c r="FR39">
        <f t="shared" si="47"/>
        <v>0</v>
      </c>
      <c r="FS39">
        <v>0</v>
      </c>
      <c r="FT39" t="s">
        <v>38</v>
      </c>
      <c r="FU39" t="s">
        <v>39</v>
      </c>
      <c r="FX39">
        <v>110.7</v>
      </c>
      <c r="FY39">
        <v>63.75</v>
      </c>
      <c r="GA39" t="s">
        <v>3</v>
      </c>
      <c r="GD39">
        <v>0</v>
      </c>
      <c r="GF39">
        <v>-1404287246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8"/>
        <v>0</v>
      </c>
      <c r="GM39">
        <f t="shared" si="49"/>
        <v>1376.21</v>
      </c>
      <c r="GN39">
        <f t="shared" si="50"/>
        <v>1376.21</v>
      </c>
      <c r="GO39">
        <f t="shared" si="51"/>
        <v>0</v>
      </c>
      <c r="GP39">
        <f t="shared" si="52"/>
        <v>0</v>
      </c>
      <c r="GR39">
        <v>0</v>
      </c>
      <c r="GS39">
        <v>3</v>
      </c>
      <c r="GT39">
        <v>0</v>
      </c>
      <c r="GU39" t="s">
        <v>3</v>
      </c>
      <c r="GV39">
        <f t="shared" si="53"/>
        <v>0</v>
      </c>
      <c r="GW39">
        <v>1</v>
      </c>
      <c r="GX39">
        <f t="shared" si="54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37</v>
      </c>
      <c r="E40" t="s">
        <v>82</v>
      </c>
      <c r="F40" t="s">
        <v>83</v>
      </c>
      <c r="G40" t="s">
        <v>84</v>
      </c>
      <c r="H40" t="s">
        <v>85</v>
      </c>
      <c r="I40">
        <f>I39*J40</f>
        <v>77.547799999999995</v>
      </c>
      <c r="J40">
        <v>100.99999999999999</v>
      </c>
      <c r="O40">
        <f t="shared" si="21"/>
        <v>6304.87</v>
      </c>
      <c r="P40">
        <f t="shared" si="22"/>
        <v>6304.87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39616881</v>
      </c>
      <c r="AB40">
        <f t="shared" si="32"/>
        <v>12.3</v>
      </c>
      <c r="AC40">
        <f t="shared" si="33"/>
        <v>12.3</v>
      </c>
      <c r="AD40">
        <f t="shared" ref="AD40:AD45" si="59">ROUND((((ET40)-(EU40))+AE40),2)</f>
        <v>0</v>
      </c>
      <c r="AE40">
        <f t="shared" ref="AE40:AF45" si="60">ROUND((EU40),2)</f>
        <v>0</v>
      </c>
      <c r="AF40">
        <f t="shared" si="60"/>
        <v>0</v>
      </c>
      <c r="AG40">
        <f t="shared" si="34"/>
        <v>0</v>
      </c>
      <c r="AH40">
        <f t="shared" ref="AH40:AI45" si="61">(EW40)</f>
        <v>0</v>
      </c>
      <c r="AI40">
        <f t="shared" si="61"/>
        <v>0</v>
      </c>
      <c r="AJ40">
        <f t="shared" si="35"/>
        <v>0</v>
      </c>
      <c r="AK40">
        <v>12.3</v>
      </c>
      <c r="AL40">
        <v>12.3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111</v>
      </c>
      <c r="AU40">
        <v>64</v>
      </c>
      <c r="AV40">
        <v>1</v>
      </c>
      <c r="AW40">
        <v>1</v>
      </c>
      <c r="AZ40">
        <v>6.61</v>
      </c>
      <c r="BA40">
        <v>1</v>
      </c>
      <c r="BB40">
        <v>1</v>
      </c>
      <c r="BC40">
        <v>6.61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86</v>
      </c>
      <c r="BM40">
        <v>11001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123</v>
      </c>
      <c r="CA40">
        <v>75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6"/>
        <v>6304.87</v>
      </c>
      <c r="CQ40">
        <f t="shared" si="37"/>
        <v>81.303000000000011</v>
      </c>
      <c r="CR40">
        <f t="shared" si="38"/>
        <v>0</v>
      </c>
      <c r="CS40">
        <f t="shared" si="39"/>
        <v>0</v>
      </c>
      <c r="CT40">
        <f t="shared" si="40"/>
        <v>0</v>
      </c>
      <c r="CU40">
        <f t="shared" si="41"/>
        <v>0</v>
      </c>
      <c r="CV40">
        <f t="shared" si="42"/>
        <v>0</v>
      </c>
      <c r="CW40">
        <f t="shared" si="43"/>
        <v>0</v>
      </c>
      <c r="CX40">
        <f t="shared" si="44"/>
        <v>0</v>
      </c>
      <c r="CY40">
        <f t="shared" si="45"/>
        <v>0</v>
      </c>
      <c r="CZ40">
        <f t="shared" si="46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1003</v>
      </c>
      <c r="DV40" t="s">
        <v>85</v>
      </c>
      <c r="DW40" t="s">
        <v>85</v>
      </c>
      <c r="DX40">
        <v>1</v>
      </c>
      <c r="EE40">
        <v>39174504</v>
      </c>
      <c r="EF40">
        <v>2</v>
      </c>
      <c r="EG40" t="s">
        <v>34</v>
      </c>
      <c r="EH40">
        <v>0</v>
      </c>
      <c r="EI40" t="s">
        <v>3</v>
      </c>
      <c r="EJ40">
        <v>1</v>
      </c>
      <c r="EK40">
        <v>11001</v>
      </c>
      <c r="EL40" t="s">
        <v>20</v>
      </c>
      <c r="EM40" t="s">
        <v>63</v>
      </c>
      <c r="EO40" t="s">
        <v>3</v>
      </c>
      <c r="EQ40">
        <v>0</v>
      </c>
      <c r="ER40">
        <v>12.3</v>
      </c>
      <c r="ES40">
        <v>12.3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7"/>
        <v>0</v>
      </c>
      <c r="FS40">
        <v>0</v>
      </c>
      <c r="FT40" t="s">
        <v>38</v>
      </c>
      <c r="FU40" t="s">
        <v>39</v>
      </c>
      <c r="FX40">
        <v>110.7</v>
      </c>
      <c r="FY40">
        <v>63.75</v>
      </c>
      <c r="GA40" t="s">
        <v>3</v>
      </c>
      <c r="GD40">
        <v>0</v>
      </c>
      <c r="GF40">
        <v>26470480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8"/>
        <v>0</v>
      </c>
      <c r="GM40">
        <f t="shared" si="49"/>
        <v>6304.87</v>
      </c>
      <c r="GN40">
        <f t="shared" si="50"/>
        <v>6304.87</v>
      </c>
      <c r="GO40">
        <f t="shared" si="51"/>
        <v>0</v>
      </c>
      <c r="GP40">
        <f t="shared" si="52"/>
        <v>0</v>
      </c>
      <c r="GR40">
        <v>0</v>
      </c>
      <c r="GS40">
        <v>3</v>
      </c>
      <c r="GT40">
        <v>0</v>
      </c>
      <c r="GU40" t="s">
        <v>3</v>
      </c>
      <c r="GV40">
        <f t="shared" si="53"/>
        <v>0</v>
      </c>
      <c r="GW40">
        <v>1</v>
      </c>
      <c r="GX40">
        <f t="shared" si="54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42</v>
      </c>
      <c r="E41" t="s">
        <v>87</v>
      </c>
      <c r="F41" t="s">
        <v>88</v>
      </c>
      <c r="G41" t="s">
        <v>89</v>
      </c>
      <c r="H41" t="s">
        <v>90</v>
      </c>
      <c r="I41">
        <f>I39*J41</f>
        <v>0.05</v>
      </c>
      <c r="J41">
        <v>6.5121125293045062E-2</v>
      </c>
      <c r="O41">
        <f t="shared" si="21"/>
        <v>42.3</v>
      </c>
      <c r="P41">
        <f t="shared" si="22"/>
        <v>42.3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39616881</v>
      </c>
      <c r="AB41">
        <f t="shared" si="32"/>
        <v>128</v>
      </c>
      <c r="AC41">
        <f t="shared" si="33"/>
        <v>128</v>
      </c>
      <c r="AD41">
        <f t="shared" si="59"/>
        <v>0</v>
      </c>
      <c r="AE41">
        <f t="shared" si="60"/>
        <v>0</v>
      </c>
      <c r="AF41">
        <f t="shared" si="60"/>
        <v>0</v>
      </c>
      <c r="AG41">
        <f t="shared" si="34"/>
        <v>0</v>
      </c>
      <c r="AH41">
        <f t="shared" si="61"/>
        <v>0</v>
      </c>
      <c r="AI41">
        <f t="shared" si="61"/>
        <v>0</v>
      </c>
      <c r="AJ41">
        <f t="shared" si="35"/>
        <v>0</v>
      </c>
      <c r="AK41">
        <v>128</v>
      </c>
      <c r="AL41">
        <v>128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6.61</v>
      </c>
      <c r="BA41">
        <v>1</v>
      </c>
      <c r="BB41">
        <v>1</v>
      </c>
      <c r="BC41">
        <v>6.61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91</v>
      </c>
      <c r="BM41">
        <v>11001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6"/>
        <v>42.3</v>
      </c>
      <c r="CQ41">
        <f t="shared" si="37"/>
        <v>846.08</v>
      </c>
      <c r="CR41">
        <f t="shared" si="38"/>
        <v>0</v>
      </c>
      <c r="CS41">
        <f t="shared" si="39"/>
        <v>0</v>
      </c>
      <c r="CT41">
        <f t="shared" si="40"/>
        <v>0</v>
      </c>
      <c r="CU41">
        <f t="shared" si="41"/>
        <v>0</v>
      </c>
      <c r="CV41">
        <f t="shared" si="42"/>
        <v>0</v>
      </c>
      <c r="CW41">
        <f t="shared" si="43"/>
        <v>0</v>
      </c>
      <c r="CX41">
        <f t="shared" si="44"/>
        <v>0</v>
      </c>
      <c r="CY41">
        <f t="shared" si="45"/>
        <v>0</v>
      </c>
      <c r="CZ41">
        <f t="shared" si="46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90</v>
      </c>
      <c r="DW41" t="s">
        <v>90</v>
      </c>
      <c r="DX41">
        <v>100</v>
      </c>
      <c r="EE41">
        <v>39174504</v>
      </c>
      <c r="EF41">
        <v>2</v>
      </c>
      <c r="EG41" t="s">
        <v>34</v>
      </c>
      <c r="EH41">
        <v>0</v>
      </c>
      <c r="EI41" t="s">
        <v>3</v>
      </c>
      <c r="EJ41">
        <v>1</v>
      </c>
      <c r="EK41">
        <v>11001</v>
      </c>
      <c r="EL41" t="s">
        <v>20</v>
      </c>
      <c r="EM41" t="s">
        <v>63</v>
      </c>
      <c r="EO41" t="s">
        <v>3</v>
      </c>
      <c r="EQ41">
        <v>0</v>
      </c>
      <c r="ER41">
        <v>128</v>
      </c>
      <c r="ES41">
        <v>128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7"/>
        <v>0</v>
      </c>
      <c r="FS41">
        <v>0</v>
      </c>
      <c r="FT41" t="s">
        <v>38</v>
      </c>
      <c r="FU41" t="s">
        <v>39</v>
      </c>
      <c r="FX41">
        <v>110.7</v>
      </c>
      <c r="FY41">
        <v>63.75</v>
      </c>
      <c r="GA41" t="s">
        <v>3</v>
      </c>
      <c r="GD41">
        <v>0</v>
      </c>
      <c r="GF41">
        <v>952646044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8"/>
        <v>0</v>
      </c>
      <c r="GM41">
        <f t="shared" si="49"/>
        <v>42.3</v>
      </c>
      <c r="GN41">
        <f t="shared" si="50"/>
        <v>42.3</v>
      </c>
      <c r="GO41">
        <f t="shared" si="51"/>
        <v>0</v>
      </c>
      <c r="GP41">
        <f t="shared" si="52"/>
        <v>0</v>
      </c>
      <c r="GR41">
        <v>0</v>
      </c>
      <c r="GS41">
        <v>3</v>
      </c>
      <c r="GT41">
        <v>0</v>
      </c>
      <c r="GU41" t="s">
        <v>3</v>
      </c>
      <c r="GV41">
        <f t="shared" si="53"/>
        <v>0</v>
      </c>
      <c r="GW41">
        <v>1</v>
      </c>
      <c r="GX41">
        <f t="shared" si="54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41</v>
      </c>
      <c r="E42" t="s">
        <v>92</v>
      </c>
      <c r="F42" t="s">
        <v>93</v>
      </c>
      <c r="G42" t="s">
        <v>94</v>
      </c>
      <c r="H42" t="s">
        <v>90</v>
      </c>
      <c r="I42">
        <f>I39*J42</f>
        <v>0.05</v>
      </c>
      <c r="J42">
        <v>6.5121125293045062E-2</v>
      </c>
      <c r="O42">
        <f t="shared" si="21"/>
        <v>42.3</v>
      </c>
      <c r="P42">
        <f t="shared" si="22"/>
        <v>42.3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39616881</v>
      </c>
      <c r="AB42">
        <f t="shared" si="32"/>
        <v>128</v>
      </c>
      <c r="AC42">
        <f t="shared" si="33"/>
        <v>128</v>
      </c>
      <c r="AD42">
        <f t="shared" si="59"/>
        <v>0</v>
      </c>
      <c r="AE42">
        <f t="shared" si="60"/>
        <v>0</v>
      </c>
      <c r="AF42">
        <f t="shared" si="60"/>
        <v>0</v>
      </c>
      <c r="AG42">
        <f t="shared" si="34"/>
        <v>0</v>
      </c>
      <c r="AH42">
        <f t="shared" si="61"/>
        <v>0</v>
      </c>
      <c r="AI42">
        <f t="shared" si="61"/>
        <v>0</v>
      </c>
      <c r="AJ42">
        <f t="shared" si="35"/>
        <v>0</v>
      </c>
      <c r="AK42">
        <v>128</v>
      </c>
      <c r="AL42">
        <v>128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111</v>
      </c>
      <c r="AU42">
        <v>64</v>
      </c>
      <c r="AV42">
        <v>1</v>
      </c>
      <c r="AW42">
        <v>1</v>
      </c>
      <c r="AZ42">
        <v>6.61</v>
      </c>
      <c r="BA42">
        <v>1</v>
      </c>
      <c r="BB42">
        <v>1</v>
      </c>
      <c r="BC42">
        <v>6.61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95</v>
      </c>
      <c r="BM42">
        <v>11001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123</v>
      </c>
      <c r="CA42">
        <v>75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6"/>
        <v>42.3</v>
      </c>
      <c r="CQ42">
        <f t="shared" si="37"/>
        <v>846.08</v>
      </c>
      <c r="CR42">
        <f t="shared" si="38"/>
        <v>0</v>
      </c>
      <c r="CS42">
        <f t="shared" si="39"/>
        <v>0</v>
      </c>
      <c r="CT42">
        <f t="shared" si="40"/>
        <v>0</v>
      </c>
      <c r="CU42">
        <f t="shared" si="41"/>
        <v>0</v>
      </c>
      <c r="CV42">
        <f t="shared" si="42"/>
        <v>0</v>
      </c>
      <c r="CW42">
        <f t="shared" si="43"/>
        <v>0</v>
      </c>
      <c r="CX42">
        <f t="shared" si="44"/>
        <v>0</v>
      </c>
      <c r="CY42">
        <f t="shared" si="45"/>
        <v>0</v>
      </c>
      <c r="CZ42">
        <f t="shared" si="46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1010</v>
      </c>
      <c r="DV42" t="s">
        <v>90</v>
      </c>
      <c r="DW42" t="s">
        <v>90</v>
      </c>
      <c r="DX42">
        <v>100</v>
      </c>
      <c r="EE42">
        <v>39174504</v>
      </c>
      <c r="EF42">
        <v>2</v>
      </c>
      <c r="EG42" t="s">
        <v>34</v>
      </c>
      <c r="EH42">
        <v>0</v>
      </c>
      <c r="EI42" t="s">
        <v>3</v>
      </c>
      <c r="EJ42">
        <v>1</v>
      </c>
      <c r="EK42">
        <v>11001</v>
      </c>
      <c r="EL42" t="s">
        <v>20</v>
      </c>
      <c r="EM42" t="s">
        <v>63</v>
      </c>
      <c r="EO42" t="s">
        <v>3</v>
      </c>
      <c r="EQ42">
        <v>0</v>
      </c>
      <c r="ER42">
        <v>128</v>
      </c>
      <c r="ES42">
        <v>128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7"/>
        <v>0</v>
      </c>
      <c r="FS42">
        <v>0</v>
      </c>
      <c r="FT42" t="s">
        <v>38</v>
      </c>
      <c r="FU42" t="s">
        <v>39</v>
      </c>
      <c r="FX42">
        <v>110.7</v>
      </c>
      <c r="FY42">
        <v>63.75</v>
      </c>
      <c r="GA42" t="s">
        <v>3</v>
      </c>
      <c r="GD42">
        <v>0</v>
      </c>
      <c r="GF42">
        <v>1800897042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8"/>
        <v>0</v>
      </c>
      <c r="GM42">
        <f t="shared" si="49"/>
        <v>42.3</v>
      </c>
      <c r="GN42">
        <f t="shared" si="50"/>
        <v>42.3</v>
      </c>
      <c r="GO42">
        <f t="shared" si="51"/>
        <v>0</v>
      </c>
      <c r="GP42">
        <f t="shared" si="52"/>
        <v>0</v>
      </c>
      <c r="GR42">
        <v>0</v>
      </c>
      <c r="GS42">
        <v>3</v>
      </c>
      <c r="GT42">
        <v>0</v>
      </c>
      <c r="GU42" t="s">
        <v>3</v>
      </c>
      <c r="GV42">
        <f t="shared" si="53"/>
        <v>0</v>
      </c>
      <c r="GW42">
        <v>1</v>
      </c>
      <c r="GX42">
        <f t="shared" si="54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40</v>
      </c>
      <c r="E43" t="s">
        <v>96</v>
      </c>
      <c r="F43" t="s">
        <v>97</v>
      </c>
      <c r="G43" t="s">
        <v>98</v>
      </c>
      <c r="H43" t="s">
        <v>90</v>
      </c>
      <c r="I43">
        <f>I39*J43</f>
        <v>0.3</v>
      </c>
      <c r="J43">
        <v>0.39072675175827037</v>
      </c>
      <c r="O43">
        <f t="shared" si="21"/>
        <v>253.82</v>
      </c>
      <c r="P43">
        <f t="shared" si="22"/>
        <v>253.82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39616881</v>
      </c>
      <c r="AB43">
        <f t="shared" si="32"/>
        <v>128</v>
      </c>
      <c r="AC43">
        <f t="shared" si="33"/>
        <v>128</v>
      </c>
      <c r="AD43">
        <f t="shared" si="59"/>
        <v>0</v>
      </c>
      <c r="AE43">
        <f t="shared" si="60"/>
        <v>0</v>
      </c>
      <c r="AF43">
        <f t="shared" si="60"/>
        <v>0</v>
      </c>
      <c r="AG43">
        <f t="shared" si="34"/>
        <v>0</v>
      </c>
      <c r="AH43">
        <f t="shared" si="61"/>
        <v>0</v>
      </c>
      <c r="AI43">
        <f t="shared" si="61"/>
        <v>0</v>
      </c>
      <c r="AJ43">
        <f t="shared" si="35"/>
        <v>0</v>
      </c>
      <c r="AK43">
        <v>128</v>
      </c>
      <c r="AL43">
        <v>128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6.61</v>
      </c>
      <c r="BA43">
        <v>1</v>
      </c>
      <c r="BB43">
        <v>1</v>
      </c>
      <c r="BC43">
        <v>6.61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99</v>
      </c>
      <c r="BM43">
        <v>11001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6"/>
        <v>253.82</v>
      </c>
      <c r="CQ43">
        <f t="shared" si="37"/>
        <v>846.08</v>
      </c>
      <c r="CR43">
        <f t="shared" si="38"/>
        <v>0</v>
      </c>
      <c r="CS43">
        <f t="shared" si="39"/>
        <v>0</v>
      </c>
      <c r="CT43">
        <f t="shared" si="40"/>
        <v>0</v>
      </c>
      <c r="CU43">
        <f t="shared" si="41"/>
        <v>0</v>
      </c>
      <c r="CV43">
        <f t="shared" si="42"/>
        <v>0</v>
      </c>
      <c r="CW43">
        <f t="shared" si="43"/>
        <v>0</v>
      </c>
      <c r="CX43">
        <f t="shared" si="44"/>
        <v>0</v>
      </c>
      <c r="CY43">
        <f t="shared" si="45"/>
        <v>0</v>
      </c>
      <c r="CZ43">
        <f t="shared" si="46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90</v>
      </c>
      <c r="DW43" t="s">
        <v>90</v>
      </c>
      <c r="DX43">
        <v>100</v>
      </c>
      <c r="EE43">
        <v>39174504</v>
      </c>
      <c r="EF43">
        <v>2</v>
      </c>
      <c r="EG43" t="s">
        <v>34</v>
      </c>
      <c r="EH43">
        <v>0</v>
      </c>
      <c r="EI43" t="s">
        <v>3</v>
      </c>
      <c r="EJ43">
        <v>1</v>
      </c>
      <c r="EK43">
        <v>11001</v>
      </c>
      <c r="EL43" t="s">
        <v>20</v>
      </c>
      <c r="EM43" t="s">
        <v>63</v>
      </c>
      <c r="EO43" t="s">
        <v>3</v>
      </c>
      <c r="EQ43">
        <v>0</v>
      </c>
      <c r="ER43">
        <v>128</v>
      </c>
      <c r="ES43">
        <v>128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7"/>
        <v>0</v>
      </c>
      <c r="FS43">
        <v>0</v>
      </c>
      <c r="FT43" t="s">
        <v>38</v>
      </c>
      <c r="FU43" t="s">
        <v>39</v>
      </c>
      <c r="FX43">
        <v>110.7</v>
      </c>
      <c r="FY43">
        <v>63.75</v>
      </c>
      <c r="GA43" t="s">
        <v>3</v>
      </c>
      <c r="GD43">
        <v>0</v>
      </c>
      <c r="GF43">
        <v>1073883569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8"/>
        <v>0</v>
      </c>
      <c r="GM43">
        <f t="shared" si="49"/>
        <v>253.82</v>
      </c>
      <c r="GN43">
        <f t="shared" si="50"/>
        <v>253.82</v>
      </c>
      <c r="GO43">
        <f t="shared" si="51"/>
        <v>0</v>
      </c>
      <c r="GP43">
        <f t="shared" si="52"/>
        <v>0</v>
      </c>
      <c r="GR43">
        <v>0</v>
      </c>
      <c r="GS43">
        <v>3</v>
      </c>
      <c r="GT43">
        <v>0</v>
      </c>
      <c r="GU43" t="s">
        <v>3</v>
      </c>
      <c r="GV43">
        <f t="shared" si="53"/>
        <v>0</v>
      </c>
      <c r="GW43">
        <v>1</v>
      </c>
      <c r="GX43">
        <f t="shared" si="54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38</v>
      </c>
      <c r="E44" t="s">
        <v>100</v>
      </c>
      <c r="F44" t="s">
        <v>101</v>
      </c>
      <c r="G44" t="s">
        <v>102</v>
      </c>
      <c r="H44" t="s">
        <v>90</v>
      </c>
      <c r="I44">
        <f>I39*J44</f>
        <v>0.06</v>
      </c>
      <c r="J44">
        <v>7.8145350351654069E-2</v>
      </c>
      <c r="O44">
        <f t="shared" si="21"/>
        <v>40.06</v>
      </c>
      <c r="P44">
        <f t="shared" si="22"/>
        <v>40.06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39616881</v>
      </c>
      <c r="AB44">
        <f t="shared" si="32"/>
        <v>101</v>
      </c>
      <c r="AC44">
        <f t="shared" si="33"/>
        <v>101</v>
      </c>
      <c r="AD44">
        <f t="shared" si="59"/>
        <v>0</v>
      </c>
      <c r="AE44">
        <f t="shared" si="60"/>
        <v>0</v>
      </c>
      <c r="AF44">
        <f t="shared" si="60"/>
        <v>0</v>
      </c>
      <c r="AG44">
        <f t="shared" si="34"/>
        <v>0</v>
      </c>
      <c r="AH44">
        <f t="shared" si="61"/>
        <v>0</v>
      </c>
      <c r="AI44">
        <f t="shared" si="61"/>
        <v>0</v>
      </c>
      <c r="AJ44">
        <f t="shared" si="35"/>
        <v>0</v>
      </c>
      <c r="AK44">
        <v>101</v>
      </c>
      <c r="AL44">
        <v>101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111</v>
      </c>
      <c r="AU44">
        <v>64</v>
      </c>
      <c r="AV44">
        <v>1</v>
      </c>
      <c r="AW44">
        <v>1</v>
      </c>
      <c r="AZ44">
        <v>6.61</v>
      </c>
      <c r="BA44">
        <v>1</v>
      </c>
      <c r="BB44">
        <v>1</v>
      </c>
      <c r="BC44">
        <v>6.61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103</v>
      </c>
      <c r="BM44">
        <v>11001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123</v>
      </c>
      <c r="CA44">
        <v>75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6"/>
        <v>40.06</v>
      </c>
      <c r="CQ44">
        <f t="shared" si="37"/>
        <v>667.61</v>
      </c>
      <c r="CR44">
        <f t="shared" si="38"/>
        <v>0</v>
      </c>
      <c r="CS44">
        <f t="shared" si="39"/>
        <v>0</v>
      </c>
      <c r="CT44">
        <f t="shared" si="40"/>
        <v>0</v>
      </c>
      <c r="CU44">
        <f t="shared" si="41"/>
        <v>0</v>
      </c>
      <c r="CV44">
        <f t="shared" si="42"/>
        <v>0</v>
      </c>
      <c r="CW44">
        <f t="shared" si="43"/>
        <v>0</v>
      </c>
      <c r="CX44">
        <f t="shared" si="44"/>
        <v>0</v>
      </c>
      <c r="CY44">
        <f t="shared" si="45"/>
        <v>0</v>
      </c>
      <c r="CZ44">
        <f t="shared" si="46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90</v>
      </c>
      <c r="DW44" t="s">
        <v>90</v>
      </c>
      <c r="DX44">
        <v>100</v>
      </c>
      <c r="EE44">
        <v>39174504</v>
      </c>
      <c r="EF44">
        <v>2</v>
      </c>
      <c r="EG44" t="s">
        <v>34</v>
      </c>
      <c r="EH44">
        <v>0</v>
      </c>
      <c r="EI44" t="s">
        <v>3</v>
      </c>
      <c r="EJ44">
        <v>1</v>
      </c>
      <c r="EK44">
        <v>11001</v>
      </c>
      <c r="EL44" t="s">
        <v>20</v>
      </c>
      <c r="EM44" t="s">
        <v>63</v>
      </c>
      <c r="EO44" t="s">
        <v>3</v>
      </c>
      <c r="EQ44">
        <v>0</v>
      </c>
      <c r="ER44">
        <v>101</v>
      </c>
      <c r="ES44">
        <v>101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7"/>
        <v>0</v>
      </c>
      <c r="FS44">
        <v>0</v>
      </c>
      <c r="FT44" t="s">
        <v>38</v>
      </c>
      <c r="FU44" t="s">
        <v>39</v>
      </c>
      <c r="FX44">
        <v>110.7</v>
      </c>
      <c r="FY44">
        <v>63.75</v>
      </c>
      <c r="GA44" t="s">
        <v>3</v>
      </c>
      <c r="GD44">
        <v>0</v>
      </c>
      <c r="GF44">
        <v>766681708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8"/>
        <v>0</v>
      </c>
      <c r="GM44">
        <f t="shared" si="49"/>
        <v>40.06</v>
      </c>
      <c r="GN44">
        <f t="shared" si="50"/>
        <v>40.06</v>
      </c>
      <c r="GO44">
        <f t="shared" si="51"/>
        <v>0</v>
      </c>
      <c r="GP44">
        <f t="shared" si="52"/>
        <v>0</v>
      </c>
      <c r="GR44">
        <v>0</v>
      </c>
      <c r="GS44">
        <v>3</v>
      </c>
      <c r="GT44">
        <v>0</v>
      </c>
      <c r="GU44" t="s">
        <v>3</v>
      </c>
      <c r="GV44">
        <f t="shared" si="53"/>
        <v>0</v>
      </c>
      <c r="GW44">
        <v>1</v>
      </c>
      <c r="GX44">
        <f t="shared" si="54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39</v>
      </c>
      <c r="E45" t="s">
        <v>104</v>
      </c>
      <c r="F45" t="s">
        <v>105</v>
      </c>
      <c r="G45" t="s">
        <v>106</v>
      </c>
      <c r="H45" t="s">
        <v>90</v>
      </c>
      <c r="I45">
        <f>I39*J45</f>
        <v>0.06</v>
      </c>
      <c r="J45">
        <v>7.8145350351654069E-2</v>
      </c>
      <c r="O45">
        <f t="shared" si="21"/>
        <v>40.06</v>
      </c>
      <c r="P45">
        <f t="shared" si="22"/>
        <v>40.06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39616881</v>
      </c>
      <c r="AB45">
        <f t="shared" si="32"/>
        <v>101</v>
      </c>
      <c r="AC45">
        <f t="shared" si="33"/>
        <v>101</v>
      </c>
      <c r="AD45">
        <f t="shared" si="59"/>
        <v>0</v>
      </c>
      <c r="AE45">
        <f t="shared" si="60"/>
        <v>0</v>
      </c>
      <c r="AF45">
        <f t="shared" si="60"/>
        <v>0</v>
      </c>
      <c r="AG45">
        <f t="shared" si="34"/>
        <v>0</v>
      </c>
      <c r="AH45">
        <f t="shared" si="61"/>
        <v>0</v>
      </c>
      <c r="AI45">
        <f t="shared" si="61"/>
        <v>0</v>
      </c>
      <c r="AJ45">
        <f t="shared" si="35"/>
        <v>0</v>
      </c>
      <c r="AK45">
        <v>101</v>
      </c>
      <c r="AL45">
        <v>101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6.61</v>
      </c>
      <c r="BA45">
        <v>1</v>
      </c>
      <c r="BB45">
        <v>1</v>
      </c>
      <c r="BC45">
        <v>6.61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107</v>
      </c>
      <c r="BM45">
        <v>11001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6"/>
        <v>40.06</v>
      </c>
      <c r="CQ45">
        <f t="shared" si="37"/>
        <v>667.61</v>
      </c>
      <c r="CR45">
        <f t="shared" si="38"/>
        <v>0</v>
      </c>
      <c r="CS45">
        <f t="shared" si="39"/>
        <v>0</v>
      </c>
      <c r="CT45">
        <f t="shared" si="40"/>
        <v>0</v>
      </c>
      <c r="CU45">
        <f t="shared" si="41"/>
        <v>0</v>
      </c>
      <c r="CV45">
        <f t="shared" si="42"/>
        <v>0</v>
      </c>
      <c r="CW45">
        <f t="shared" si="43"/>
        <v>0</v>
      </c>
      <c r="CX45">
        <f t="shared" si="44"/>
        <v>0</v>
      </c>
      <c r="CY45">
        <f t="shared" si="45"/>
        <v>0</v>
      </c>
      <c r="CZ45">
        <f t="shared" si="46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90</v>
      </c>
      <c r="DW45" t="s">
        <v>90</v>
      </c>
      <c r="DX45">
        <v>100</v>
      </c>
      <c r="EE45">
        <v>39174504</v>
      </c>
      <c r="EF45">
        <v>2</v>
      </c>
      <c r="EG45" t="s">
        <v>34</v>
      </c>
      <c r="EH45">
        <v>0</v>
      </c>
      <c r="EI45" t="s">
        <v>3</v>
      </c>
      <c r="EJ45">
        <v>1</v>
      </c>
      <c r="EK45">
        <v>11001</v>
      </c>
      <c r="EL45" t="s">
        <v>20</v>
      </c>
      <c r="EM45" t="s">
        <v>63</v>
      </c>
      <c r="EO45" t="s">
        <v>3</v>
      </c>
      <c r="EQ45">
        <v>0</v>
      </c>
      <c r="ER45">
        <v>101</v>
      </c>
      <c r="ES45">
        <v>101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7"/>
        <v>0</v>
      </c>
      <c r="FS45">
        <v>0</v>
      </c>
      <c r="FT45" t="s">
        <v>38</v>
      </c>
      <c r="FU45" t="s">
        <v>39</v>
      </c>
      <c r="FX45">
        <v>110.7</v>
      </c>
      <c r="FY45">
        <v>63.75</v>
      </c>
      <c r="GA45" t="s">
        <v>3</v>
      </c>
      <c r="GD45">
        <v>0</v>
      </c>
      <c r="GF45">
        <v>191136453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8"/>
        <v>0</v>
      </c>
      <c r="GM45">
        <f t="shared" si="49"/>
        <v>40.06</v>
      </c>
      <c r="GN45">
        <f t="shared" si="50"/>
        <v>40.06</v>
      </c>
      <c r="GO45">
        <f t="shared" si="51"/>
        <v>0</v>
      </c>
      <c r="GP45">
        <f t="shared" si="52"/>
        <v>0</v>
      </c>
      <c r="GR45">
        <v>0</v>
      </c>
      <c r="GS45">
        <v>3</v>
      </c>
      <c r="GT45">
        <v>0</v>
      </c>
      <c r="GU45" t="s">
        <v>3</v>
      </c>
      <c r="GV45">
        <f t="shared" si="53"/>
        <v>0</v>
      </c>
      <c r="GW45">
        <v>1</v>
      </c>
      <c r="GX45">
        <f t="shared" si="54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ROW(SmtRes!A45)</f>
        <v>45</v>
      </c>
      <c r="D46">
        <f>ROW(EtalonRes!A46)</f>
        <v>46</v>
      </c>
      <c r="E46" t="s">
        <v>108</v>
      </c>
      <c r="F46" t="s">
        <v>109</v>
      </c>
      <c r="G46" t="s">
        <v>110</v>
      </c>
      <c r="H46" t="s">
        <v>17</v>
      </c>
      <c r="I46">
        <f>ROUND(2.7/100,9)</f>
        <v>2.7E-2</v>
      </c>
      <c r="J46">
        <v>0</v>
      </c>
      <c r="O46">
        <f t="shared" si="21"/>
        <v>44.2</v>
      </c>
      <c r="P46">
        <f t="shared" si="22"/>
        <v>14.35</v>
      </c>
      <c r="Q46">
        <f t="shared" si="23"/>
        <v>0</v>
      </c>
      <c r="R46">
        <f t="shared" si="24"/>
        <v>0</v>
      </c>
      <c r="S46">
        <f t="shared" si="25"/>
        <v>29.85</v>
      </c>
      <c r="T46">
        <f t="shared" si="26"/>
        <v>0</v>
      </c>
      <c r="U46">
        <f t="shared" si="27"/>
        <v>0.51667200000000002</v>
      </c>
      <c r="V46">
        <f t="shared" si="28"/>
        <v>0</v>
      </c>
      <c r="W46">
        <f t="shared" si="29"/>
        <v>0</v>
      </c>
      <c r="X46">
        <f t="shared" si="30"/>
        <v>33.130000000000003</v>
      </c>
      <c r="Y46">
        <f t="shared" si="31"/>
        <v>19.100000000000001</v>
      </c>
      <c r="AA46">
        <v>39616881</v>
      </c>
      <c r="AB46">
        <f t="shared" si="32"/>
        <v>247.64</v>
      </c>
      <c r="AC46">
        <f t="shared" si="33"/>
        <v>80.400000000000006</v>
      </c>
      <c r="AD46">
        <f>ROUND(((((ET46*1.25))-((EU46*1.25)))+AE46),2)</f>
        <v>0</v>
      </c>
      <c r="AE46">
        <f>ROUND(((EU46*1.25)),2)</f>
        <v>0</v>
      </c>
      <c r="AF46">
        <f>ROUND(((EV46*1.15)),2)</f>
        <v>167.24</v>
      </c>
      <c r="AG46">
        <f t="shared" si="34"/>
        <v>0</v>
      </c>
      <c r="AH46">
        <f>((EW46*1.15))</f>
        <v>19.135999999999999</v>
      </c>
      <c r="AI46">
        <f>((EX46*1.25))</f>
        <v>0</v>
      </c>
      <c r="AJ46">
        <f t="shared" si="35"/>
        <v>0</v>
      </c>
      <c r="AK46">
        <v>225.83</v>
      </c>
      <c r="AL46">
        <v>80.400000000000006</v>
      </c>
      <c r="AM46">
        <v>0</v>
      </c>
      <c r="AN46">
        <v>0</v>
      </c>
      <c r="AO46">
        <v>145.43</v>
      </c>
      <c r="AP46">
        <v>0</v>
      </c>
      <c r="AQ46">
        <v>16.64</v>
      </c>
      <c r="AR46">
        <v>0</v>
      </c>
      <c r="AS46">
        <v>0</v>
      </c>
      <c r="AT46">
        <v>111</v>
      </c>
      <c r="AU46">
        <v>64</v>
      </c>
      <c r="AV46">
        <v>1</v>
      </c>
      <c r="AW46">
        <v>1</v>
      </c>
      <c r="AZ46">
        <v>6.61</v>
      </c>
      <c r="BA46">
        <v>6.61</v>
      </c>
      <c r="BB46">
        <v>6.61</v>
      </c>
      <c r="BC46">
        <v>6.61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111</v>
      </c>
      <c r="BM46">
        <v>11001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6.61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123</v>
      </c>
      <c r="CA46">
        <v>75</v>
      </c>
      <c r="CF46">
        <v>0</v>
      </c>
      <c r="CG46">
        <v>0</v>
      </c>
      <c r="CM46">
        <v>0</v>
      </c>
      <c r="CN46" t="s">
        <v>31</v>
      </c>
      <c r="CO46">
        <v>0</v>
      </c>
      <c r="CP46">
        <f t="shared" si="36"/>
        <v>44.2</v>
      </c>
      <c r="CQ46">
        <f t="shared" si="37"/>
        <v>531.44400000000007</v>
      </c>
      <c r="CR46">
        <f t="shared" si="38"/>
        <v>0</v>
      </c>
      <c r="CS46">
        <f t="shared" si="39"/>
        <v>0</v>
      </c>
      <c r="CT46">
        <f t="shared" si="40"/>
        <v>1105.4564</v>
      </c>
      <c r="CU46">
        <f t="shared" si="41"/>
        <v>0</v>
      </c>
      <c r="CV46">
        <f t="shared" si="42"/>
        <v>19.135999999999999</v>
      </c>
      <c r="CW46">
        <f t="shared" si="43"/>
        <v>0</v>
      </c>
      <c r="CX46">
        <f t="shared" si="44"/>
        <v>0</v>
      </c>
      <c r="CY46">
        <f t="shared" si="45"/>
        <v>33.133500000000005</v>
      </c>
      <c r="CZ46">
        <f t="shared" si="46"/>
        <v>19.103999999999999</v>
      </c>
      <c r="DC46" t="s">
        <v>3</v>
      </c>
      <c r="DD46" t="s">
        <v>3</v>
      </c>
      <c r="DE46" t="s">
        <v>32</v>
      </c>
      <c r="DF46" t="s">
        <v>32</v>
      </c>
      <c r="DG46" t="s">
        <v>33</v>
      </c>
      <c r="DH46" t="s">
        <v>3</v>
      </c>
      <c r="DI46" t="s">
        <v>33</v>
      </c>
      <c r="DJ46" t="s">
        <v>32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17</v>
      </c>
      <c r="DW46" t="s">
        <v>17</v>
      </c>
      <c r="DX46">
        <v>100</v>
      </c>
      <c r="EE46">
        <v>39174504</v>
      </c>
      <c r="EF46">
        <v>2</v>
      </c>
      <c r="EG46" t="s">
        <v>34</v>
      </c>
      <c r="EH46">
        <v>0</v>
      </c>
      <c r="EI46" t="s">
        <v>3</v>
      </c>
      <c r="EJ46">
        <v>1</v>
      </c>
      <c r="EK46">
        <v>11001</v>
      </c>
      <c r="EL46" t="s">
        <v>20</v>
      </c>
      <c r="EM46" t="s">
        <v>63</v>
      </c>
      <c r="EO46" t="s">
        <v>37</v>
      </c>
      <c r="EQ46">
        <v>0</v>
      </c>
      <c r="ER46">
        <v>225.83</v>
      </c>
      <c r="ES46">
        <v>80.400000000000006</v>
      </c>
      <c r="ET46">
        <v>0</v>
      </c>
      <c r="EU46">
        <v>0</v>
      </c>
      <c r="EV46">
        <v>145.43</v>
      </c>
      <c r="EW46">
        <v>16.64</v>
      </c>
      <c r="EX46">
        <v>0</v>
      </c>
      <c r="EY46">
        <v>0</v>
      </c>
      <c r="FQ46">
        <v>0</v>
      </c>
      <c r="FR46">
        <f t="shared" si="47"/>
        <v>0</v>
      </c>
      <c r="FS46">
        <v>0</v>
      </c>
      <c r="FT46" t="s">
        <v>38</v>
      </c>
      <c r="FU46" t="s">
        <v>39</v>
      </c>
      <c r="FX46">
        <v>110.7</v>
      </c>
      <c r="FY46">
        <v>63.75</v>
      </c>
      <c r="GA46" t="s">
        <v>3</v>
      </c>
      <c r="GD46">
        <v>0</v>
      </c>
      <c r="GF46">
        <v>30217037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8"/>
        <v>0</v>
      </c>
      <c r="GM46">
        <f t="shared" si="49"/>
        <v>96.43</v>
      </c>
      <c r="GN46">
        <f t="shared" si="50"/>
        <v>96.43</v>
      </c>
      <c r="GO46">
        <f t="shared" si="51"/>
        <v>0</v>
      </c>
      <c r="GP46">
        <f t="shared" si="52"/>
        <v>0</v>
      </c>
      <c r="GR46">
        <v>0</v>
      </c>
      <c r="GS46">
        <v>3</v>
      </c>
      <c r="GT46">
        <v>0</v>
      </c>
      <c r="GU46" t="s">
        <v>3</v>
      </c>
      <c r="GV46">
        <f t="shared" si="53"/>
        <v>0</v>
      </c>
      <c r="GW46">
        <v>1</v>
      </c>
      <c r="GX46">
        <f t="shared" si="54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45</v>
      </c>
      <c r="E47" t="s">
        <v>112</v>
      </c>
      <c r="F47" t="s">
        <v>113</v>
      </c>
      <c r="G47" t="s">
        <v>114</v>
      </c>
      <c r="H47" t="s">
        <v>85</v>
      </c>
      <c r="I47">
        <f>I46*J47</f>
        <v>2.835</v>
      </c>
      <c r="J47">
        <v>105</v>
      </c>
      <c r="O47">
        <f t="shared" si="21"/>
        <v>423.13</v>
      </c>
      <c r="P47">
        <f t="shared" si="22"/>
        <v>423.13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39616881</v>
      </c>
      <c r="AB47">
        <f t="shared" si="32"/>
        <v>22.58</v>
      </c>
      <c r="AC47">
        <f t="shared" si="33"/>
        <v>22.58</v>
      </c>
      <c r="AD47">
        <f t="shared" ref="AD47:AD52" si="62">ROUND((((ET47)-(EU47))+AE47),2)</f>
        <v>0</v>
      </c>
      <c r="AE47">
        <f t="shared" ref="AE47:AF52" si="63">ROUND((EU47),2)</f>
        <v>0</v>
      </c>
      <c r="AF47">
        <f t="shared" si="63"/>
        <v>0</v>
      </c>
      <c r="AG47">
        <f t="shared" si="34"/>
        <v>0</v>
      </c>
      <c r="AH47">
        <f t="shared" ref="AH47:AI52" si="64">(EW47)</f>
        <v>0</v>
      </c>
      <c r="AI47">
        <f t="shared" si="64"/>
        <v>0</v>
      </c>
      <c r="AJ47">
        <f t="shared" si="35"/>
        <v>0</v>
      </c>
      <c r="AK47">
        <v>22.58</v>
      </c>
      <c r="AL47">
        <v>22.58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6.61</v>
      </c>
      <c r="BA47">
        <v>1</v>
      </c>
      <c r="BB47">
        <v>1</v>
      </c>
      <c r="BC47">
        <v>6.61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115</v>
      </c>
      <c r="BM47">
        <v>11001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6"/>
        <v>423.13</v>
      </c>
      <c r="CQ47">
        <f t="shared" si="37"/>
        <v>149.25379999999998</v>
      </c>
      <c r="CR47">
        <f t="shared" si="38"/>
        <v>0</v>
      </c>
      <c r="CS47">
        <f t="shared" si="39"/>
        <v>0</v>
      </c>
      <c r="CT47">
        <f t="shared" si="40"/>
        <v>0</v>
      </c>
      <c r="CU47">
        <f t="shared" si="41"/>
        <v>0</v>
      </c>
      <c r="CV47">
        <f t="shared" si="42"/>
        <v>0</v>
      </c>
      <c r="CW47">
        <f t="shared" si="43"/>
        <v>0</v>
      </c>
      <c r="CX47">
        <f t="shared" si="44"/>
        <v>0</v>
      </c>
      <c r="CY47">
        <f t="shared" si="45"/>
        <v>0</v>
      </c>
      <c r="CZ47">
        <f t="shared" si="46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85</v>
      </c>
      <c r="DW47" t="s">
        <v>85</v>
      </c>
      <c r="DX47">
        <v>1</v>
      </c>
      <c r="EE47">
        <v>39174504</v>
      </c>
      <c r="EF47">
        <v>2</v>
      </c>
      <c r="EG47" t="s">
        <v>34</v>
      </c>
      <c r="EH47">
        <v>0</v>
      </c>
      <c r="EI47" t="s">
        <v>3</v>
      </c>
      <c r="EJ47">
        <v>1</v>
      </c>
      <c r="EK47">
        <v>11001</v>
      </c>
      <c r="EL47" t="s">
        <v>20</v>
      </c>
      <c r="EM47" t="s">
        <v>63</v>
      </c>
      <c r="EO47" t="s">
        <v>3</v>
      </c>
      <c r="EQ47">
        <v>0</v>
      </c>
      <c r="ER47">
        <v>22.58</v>
      </c>
      <c r="ES47">
        <v>22.58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7"/>
        <v>0</v>
      </c>
      <c r="FS47">
        <v>0</v>
      </c>
      <c r="FT47" t="s">
        <v>38</v>
      </c>
      <c r="FU47" t="s">
        <v>39</v>
      </c>
      <c r="FX47">
        <v>110.7</v>
      </c>
      <c r="FY47">
        <v>63.75</v>
      </c>
      <c r="GA47" t="s">
        <v>3</v>
      </c>
      <c r="GD47">
        <v>0</v>
      </c>
      <c r="GF47">
        <v>-208962189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8"/>
        <v>0</v>
      </c>
      <c r="GM47">
        <f t="shared" si="49"/>
        <v>423.13</v>
      </c>
      <c r="GN47">
        <f t="shared" si="50"/>
        <v>423.13</v>
      </c>
      <c r="GO47">
        <f t="shared" si="51"/>
        <v>0</v>
      </c>
      <c r="GP47">
        <f t="shared" si="52"/>
        <v>0</v>
      </c>
      <c r="GR47">
        <v>0</v>
      </c>
      <c r="GS47">
        <v>3</v>
      </c>
      <c r="GT47">
        <v>0</v>
      </c>
      <c r="GU47" t="s">
        <v>3</v>
      </c>
      <c r="GV47">
        <f t="shared" si="53"/>
        <v>0</v>
      </c>
      <c r="GW47">
        <v>1</v>
      </c>
      <c r="GX47">
        <f t="shared" si="54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ROW(SmtRes!A49)</f>
        <v>49</v>
      </c>
      <c r="D48">
        <f>ROW(EtalonRes!A50)</f>
        <v>50</v>
      </c>
      <c r="E48" t="s">
        <v>116</v>
      </c>
      <c r="F48" t="s">
        <v>117</v>
      </c>
      <c r="G48" t="s">
        <v>118</v>
      </c>
      <c r="H48" t="s">
        <v>119</v>
      </c>
      <c r="I48">
        <v>0.33</v>
      </c>
      <c r="J48">
        <v>0</v>
      </c>
      <c r="O48">
        <f t="shared" si="21"/>
        <v>537.5</v>
      </c>
      <c r="P48">
        <f t="shared" si="22"/>
        <v>272.12</v>
      </c>
      <c r="Q48">
        <f t="shared" si="23"/>
        <v>4.6500000000000004</v>
      </c>
      <c r="R48">
        <f t="shared" si="24"/>
        <v>0</v>
      </c>
      <c r="S48">
        <f t="shared" si="25"/>
        <v>260.73</v>
      </c>
      <c r="T48">
        <f t="shared" si="26"/>
        <v>0</v>
      </c>
      <c r="U48">
        <f t="shared" si="27"/>
        <v>4.8279000000000005</v>
      </c>
      <c r="V48">
        <f t="shared" si="28"/>
        <v>0</v>
      </c>
      <c r="W48">
        <f t="shared" si="29"/>
        <v>0</v>
      </c>
      <c r="X48">
        <f t="shared" si="30"/>
        <v>258.12</v>
      </c>
      <c r="Y48">
        <f t="shared" si="31"/>
        <v>156.44</v>
      </c>
      <c r="AA48">
        <v>39616881</v>
      </c>
      <c r="AB48">
        <f t="shared" si="32"/>
        <v>246.41</v>
      </c>
      <c r="AC48">
        <f t="shared" si="33"/>
        <v>124.75</v>
      </c>
      <c r="AD48">
        <f t="shared" si="62"/>
        <v>2.13</v>
      </c>
      <c r="AE48">
        <f t="shared" si="63"/>
        <v>0</v>
      </c>
      <c r="AF48">
        <f t="shared" si="63"/>
        <v>119.53</v>
      </c>
      <c r="AG48">
        <f t="shared" si="34"/>
        <v>0</v>
      </c>
      <c r="AH48">
        <f t="shared" si="64"/>
        <v>14.63</v>
      </c>
      <c r="AI48">
        <f t="shared" si="64"/>
        <v>0</v>
      </c>
      <c r="AJ48">
        <f t="shared" si="35"/>
        <v>0</v>
      </c>
      <c r="AK48">
        <v>246.41</v>
      </c>
      <c r="AL48">
        <v>124.75</v>
      </c>
      <c r="AM48">
        <v>2.13</v>
      </c>
      <c r="AN48">
        <v>0</v>
      </c>
      <c r="AO48">
        <v>119.53</v>
      </c>
      <c r="AP48">
        <v>0</v>
      </c>
      <c r="AQ48">
        <v>14.63</v>
      </c>
      <c r="AR48">
        <v>0</v>
      </c>
      <c r="AS48">
        <v>0</v>
      </c>
      <c r="AT48">
        <v>99</v>
      </c>
      <c r="AU48">
        <v>60</v>
      </c>
      <c r="AV48">
        <v>1</v>
      </c>
      <c r="AW48">
        <v>1</v>
      </c>
      <c r="AZ48">
        <v>6.61</v>
      </c>
      <c r="BA48">
        <v>6.61</v>
      </c>
      <c r="BB48">
        <v>6.61</v>
      </c>
      <c r="BC48">
        <v>6.61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1</v>
      </c>
      <c r="BJ48" t="s">
        <v>120</v>
      </c>
      <c r="BM48">
        <v>46001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6.61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110</v>
      </c>
      <c r="CA48">
        <v>70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6"/>
        <v>537.5</v>
      </c>
      <c r="CQ48">
        <f t="shared" si="37"/>
        <v>824.59750000000008</v>
      </c>
      <c r="CR48">
        <f t="shared" si="38"/>
        <v>14.0793</v>
      </c>
      <c r="CS48">
        <f t="shared" si="39"/>
        <v>0</v>
      </c>
      <c r="CT48">
        <f t="shared" si="40"/>
        <v>790.0933</v>
      </c>
      <c r="CU48">
        <f t="shared" si="41"/>
        <v>0</v>
      </c>
      <c r="CV48">
        <f t="shared" si="42"/>
        <v>14.63</v>
      </c>
      <c r="CW48">
        <f t="shared" si="43"/>
        <v>0</v>
      </c>
      <c r="CX48">
        <f t="shared" si="44"/>
        <v>0</v>
      </c>
      <c r="CY48">
        <f t="shared" si="45"/>
        <v>258.12270000000001</v>
      </c>
      <c r="CZ48">
        <f t="shared" si="46"/>
        <v>156.43800000000002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1007</v>
      </c>
      <c r="DV48" t="s">
        <v>119</v>
      </c>
      <c r="DW48" t="s">
        <v>119</v>
      </c>
      <c r="DX48">
        <v>1</v>
      </c>
      <c r="EE48">
        <v>39174571</v>
      </c>
      <c r="EF48">
        <v>2</v>
      </c>
      <c r="EG48" t="s">
        <v>34</v>
      </c>
      <c r="EH48">
        <v>0</v>
      </c>
      <c r="EI48" t="s">
        <v>3</v>
      </c>
      <c r="EJ48">
        <v>1</v>
      </c>
      <c r="EK48">
        <v>46001</v>
      </c>
      <c r="EL48" t="s">
        <v>121</v>
      </c>
      <c r="EM48" t="s">
        <v>122</v>
      </c>
      <c r="EO48" t="s">
        <v>3</v>
      </c>
      <c r="EQ48">
        <v>0</v>
      </c>
      <c r="ER48">
        <v>246.41</v>
      </c>
      <c r="ES48">
        <v>124.75</v>
      </c>
      <c r="ET48">
        <v>2.13</v>
      </c>
      <c r="EU48">
        <v>0</v>
      </c>
      <c r="EV48">
        <v>119.53</v>
      </c>
      <c r="EW48">
        <v>14.63</v>
      </c>
      <c r="EX48">
        <v>0</v>
      </c>
      <c r="EY48">
        <v>0</v>
      </c>
      <c r="FQ48">
        <v>0</v>
      </c>
      <c r="FR48">
        <f t="shared" si="47"/>
        <v>0</v>
      </c>
      <c r="FS48">
        <v>0</v>
      </c>
      <c r="FT48" t="s">
        <v>38</v>
      </c>
      <c r="FU48" t="s">
        <v>39</v>
      </c>
      <c r="FX48">
        <v>99</v>
      </c>
      <c r="FY48">
        <v>59.5</v>
      </c>
      <c r="GA48" t="s">
        <v>3</v>
      </c>
      <c r="GD48">
        <v>0</v>
      </c>
      <c r="GF48">
        <v>1109849592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8"/>
        <v>0</v>
      </c>
      <c r="GM48">
        <f t="shared" si="49"/>
        <v>952.06</v>
      </c>
      <c r="GN48">
        <f t="shared" si="50"/>
        <v>952.06</v>
      </c>
      <c r="GO48">
        <f t="shared" si="51"/>
        <v>0</v>
      </c>
      <c r="GP48">
        <f t="shared" si="52"/>
        <v>0</v>
      </c>
      <c r="GR48">
        <v>0</v>
      </c>
      <c r="GS48">
        <v>3</v>
      </c>
      <c r="GT48">
        <v>0</v>
      </c>
      <c r="GU48" t="s">
        <v>3</v>
      </c>
      <c r="GV48">
        <f t="shared" si="53"/>
        <v>0</v>
      </c>
      <c r="GW48">
        <v>1</v>
      </c>
      <c r="GX48">
        <f t="shared" si="54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49</v>
      </c>
      <c r="E49" t="s">
        <v>123</v>
      </c>
      <c r="F49" t="s">
        <v>124</v>
      </c>
      <c r="G49" t="s">
        <v>125</v>
      </c>
      <c r="H49" t="s">
        <v>119</v>
      </c>
      <c r="I49">
        <f>I48*J49</f>
        <v>0.33</v>
      </c>
      <c r="J49">
        <v>1</v>
      </c>
      <c r="O49">
        <f t="shared" si="21"/>
        <v>225.57</v>
      </c>
      <c r="P49">
        <f t="shared" si="22"/>
        <v>225.57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39616881</v>
      </c>
      <c r="AB49">
        <f t="shared" si="32"/>
        <v>103.41</v>
      </c>
      <c r="AC49">
        <f t="shared" si="33"/>
        <v>103.41</v>
      </c>
      <c r="AD49">
        <f t="shared" si="62"/>
        <v>0</v>
      </c>
      <c r="AE49">
        <f t="shared" si="63"/>
        <v>0</v>
      </c>
      <c r="AF49">
        <f t="shared" si="63"/>
        <v>0</v>
      </c>
      <c r="AG49">
        <f t="shared" si="34"/>
        <v>0</v>
      </c>
      <c r="AH49">
        <f t="shared" si="64"/>
        <v>0</v>
      </c>
      <c r="AI49">
        <f t="shared" si="64"/>
        <v>0</v>
      </c>
      <c r="AJ49">
        <f t="shared" si="35"/>
        <v>0</v>
      </c>
      <c r="AK49">
        <v>103.41</v>
      </c>
      <c r="AL49">
        <v>103.41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99</v>
      </c>
      <c r="AU49">
        <v>60</v>
      </c>
      <c r="AV49">
        <v>1</v>
      </c>
      <c r="AW49">
        <v>1</v>
      </c>
      <c r="AZ49">
        <v>6.61</v>
      </c>
      <c r="BA49">
        <v>1</v>
      </c>
      <c r="BB49">
        <v>1</v>
      </c>
      <c r="BC49">
        <v>6.61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126</v>
      </c>
      <c r="BM49">
        <v>46001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110</v>
      </c>
      <c r="CA49">
        <v>70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6"/>
        <v>225.57</v>
      </c>
      <c r="CQ49">
        <f t="shared" si="37"/>
        <v>683.54010000000005</v>
      </c>
      <c r="CR49">
        <f t="shared" si="38"/>
        <v>0</v>
      </c>
      <c r="CS49">
        <f t="shared" si="39"/>
        <v>0</v>
      </c>
      <c r="CT49">
        <f t="shared" si="40"/>
        <v>0</v>
      </c>
      <c r="CU49">
        <f t="shared" si="41"/>
        <v>0</v>
      </c>
      <c r="CV49">
        <f t="shared" si="42"/>
        <v>0</v>
      </c>
      <c r="CW49">
        <f t="shared" si="43"/>
        <v>0</v>
      </c>
      <c r="CX49">
        <f t="shared" si="44"/>
        <v>0</v>
      </c>
      <c r="CY49">
        <f t="shared" si="45"/>
        <v>0</v>
      </c>
      <c r="CZ49">
        <f t="shared" si="46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1007</v>
      </c>
      <c r="DV49" t="s">
        <v>119</v>
      </c>
      <c r="DW49" t="s">
        <v>119</v>
      </c>
      <c r="DX49">
        <v>1</v>
      </c>
      <c r="EE49">
        <v>39174571</v>
      </c>
      <c r="EF49">
        <v>2</v>
      </c>
      <c r="EG49" t="s">
        <v>34</v>
      </c>
      <c r="EH49">
        <v>0</v>
      </c>
      <c r="EI49" t="s">
        <v>3</v>
      </c>
      <c r="EJ49">
        <v>1</v>
      </c>
      <c r="EK49">
        <v>46001</v>
      </c>
      <c r="EL49" t="s">
        <v>121</v>
      </c>
      <c r="EM49" t="s">
        <v>122</v>
      </c>
      <c r="EO49" t="s">
        <v>3</v>
      </c>
      <c r="EQ49">
        <v>0</v>
      </c>
      <c r="ER49">
        <v>103.41</v>
      </c>
      <c r="ES49">
        <v>103.41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7"/>
        <v>0</v>
      </c>
      <c r="FS49">
        <v>0</v>
      </c>
      <c r="FT49" t="s">
        <v>38</v>
      </c>
      <c r="FU49" t="s">
        <v>39</v>
      </c>
      <c r="FX49">
        <v>99</v>
      </c>
      <c r="FY49">
        <v>59.5</v>
      </c>
      <c r="GA49" t="s">
        <v>3</v>
      </c>
      <c r="GD49">
        <v>0</v>
      </c>
      <c r="GF49">
        <v>1251690205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8"/>
        <v>0</v>
      </c>
      <c r="GM49">
        <f t="shared" si="49"/>
        <v>225.57</v>
      </c>
      <c r="GN49">
        <f t="shared" si="50"/>
        <v>225.57</v>
      </c>
      <c r="GO49">
        <f t="shared" si="51"/>
        <v>0</v>
      </c>
      <c r="GP49">
        <f t="shared" si="52"/>
        <v>0</v>
      </c>
      <c r="GR49">
        <v>0</v>
      </c>
      <c r="GS49">
        <v>3</v>
      </c>
      <c r="GT49">
        <v>0</v>
      </c>
      <c r="GU49" t="s">
        <v>3</v>
      </c>
      <c r="GV49">
        <f t="shared" si="53"/>
        <v>0</v>
      </c>
      <c r="GW49">
        <v>1</v>
      </c>
      <c r="GX49">
        <f t="shared" si="54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ROW(SmtRes!A61)</f>
        <v>61</v>
      </c>
      <c r="D50">
        <f>ROW(EtalonRes!A61)</f>
        <v>61</v>
      </c>
      <c r="E50" t="s">
        <v>127</v>
      </c>
      <c r="F50" t="s">
        <v>128</v>
      </c>
      <c r="G50" t="s">
        <v>129</v>
      </c>
      <c r="H50" t="s">
        <v>119</v>
      </c>
      <c r="I50">
        <v>0.33750000000000002</v>
      </c>
      <c r="J50">
        <v>0</v>
      </c>
      <c r="O50">
        <f t="shared" si="21"/>
        <v>2743.88</v>
      </c>
      <c r="P50">
        <f t="shared" si="22"/>
        <v>1326.9</v>
      </c>
      <c r="Q50">
        <f t="shared" si="23"/>
        <v>59.43</v>
      </c>
      <c r="R50">
        <f t="shared" si="24"/>
        <v>10.35</v>
      </c>
      <c r="S50">
        <f t="shared" si="25"/>
        <v>1357.55</v>
      </c>
      <c r="T50">
        <f t="shared" si="26"/>
        <v>0</v>
      </c>
      <c r="U50">
        <f t="shared" si="27"/>
        <v>25.386750000000003</v>
      </c>
      <c r="V50">
        <f t="shared" si="28"/>
        <v>0.13500000000000001</v>
      </c>
      <c r="W50">
        <f t="shared" si="29"/>
        <v>0</v>
      </c>
      <c r="X50">
        <f t="shared" si="30"/>
        <v>1354.22</v>
      </c>
      <c r="Y50">
        <f t="shared" si="31"/>
        <v>820.74</v>
      </c>
      <c r="AA50">
        <v>39616881</v>
      </c>
      <c r="AB50">
        <f t="shared" si="32"/>
        <v>1229.96</v>
      </c>
      <c r="AC50">
        <f t="shared" si="33"/>
        <v>594.79</v>
      </c>
      <c r="AD50">
        <f t="shared" si="62"/>
        <v>26.64</v>
      </c>
      <c r="AE50">
        <f t="shared" si="63"/>
        <v>4.6399999999999997</v>
      </c>
      <c r="AF50">
        <f t="shared" si="63"/>
        <v>608.53</v>
      </c>
      <c r="AG50">
        <f t="shared" si="34"/>
        <v>0</v>
      </c>
      <c r="AH50">
        <f t="shared" si="64"/>
        <v>75.22</v>
      </c>
      <c r="AI50">
        <f t="shared" si="64"/>
        <v>0.4</v>
      </c>
      <c r="AJ50">
        <f t="shared" si="35"/>
        <v>0</v>
      </c>
      <c r="AK50">
        <v>1229.96</v>
      </c>
      <c r="AL50">
        <v>594.79</v>
      </c>
      <c r="AM50">
        <v>26.64</v>
      </c>
      <c r="AN50">
        <v>4.6399999999999997</v>
      </c>
      <c r="AO50">
        <v>608.53</v>
      </c>
      <c r="AP50">
        <v>0</v>
      </c>
      <c r="AQ50">
        <v>75.22</v>
      </c>
      <c r="AR50">
        <v>0.4</v>
      </c>
      <c r="AS50">
        <v>0</v>
      </c>
      <c r="AT50">
        <v>99</v>
      </c>
      <c r="AU50">
        <v>60</v>
      </c>
      <c r="AV50">
        <v>1</v>
      </c>
      <c r="AW50">
        <v>1</v>
      </c>
      <c r="AZ50">
        <v>6.61</v>
      </c>
      <c r="BA50">
        <v>6.61</v>
      </c>
      <c r="BB50">
        <v>6.61</v>
      </c>
      <c r="BC50">
        <v>6.61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1</v>
      </c>
      <c r="BJ50" t="s">
        <v>130</v>
      </c>
      <c r="BM50">
        <v>46001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6.61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110</v>
      </c>
      <c r="CA50">
        <v>70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6"/>
        <v>2743.88</v>
      </c>
      <c r="CQ50">
        <f t="shared" si="37"/>
        <v>3931.5619000000002</v>
      </c>
      <c r="CR50">
        <f t="shared" si="38"/>
        <v>176.09040000000002</v>
      </c>
      <c r="CS50">
        <f t="shared" si="39"/>
        <v>30.670400000000001</v>
      </c>
      <c r="CT50">
        <f t="shared" si="40"/>
        <v>4022.3833</v>
      </c>
      <c r="CU50">
        <f t="shared" si="41"/>
        <v>0</v>
      </c>
      <c r="CV50">
        <f t="shared" si="42"/>
        <v>75.22</v>
      </c>
      <c r="CW50">
        <f t="shared" si="43"/>
        <v>0.4</v>
      </c>
      <c r="CX50">
        <f t="shared" si="44"/>
        <v>0</v>
      </c>
      <c r="CY50">
        <f t="shared" si="45"/>
        <v>1354.2209999999998</v>
      </c>
      <c r="CZ50">
        <f t="shared" si="46"/>
        <v>820.7399999999999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1007</v>
      </c>
      <c r="DV50" t="s">
        <v>119</v>
      </c>
      <c r="DW50" t="s">
        <v>119</v>
      </c>
      <c r="DX50">
        <v>1</v>
      </c>
      <c r="EE50">
        <v>39174571</v>
      </c>
      <c r="EF50">
        <v>2</v>
      </c>
      <c r="EG50" t="s">
        <v>34</v>
      </c>
      <c r="EH50">
        <v>0</v>
      </c>
      <c r="EI50" t="s">
        <v>3</v>
      </c>
      <c r="EJ50">
        <v>1</v>
      </c>
      <c r="EK50">
        <v>46001</v>
      </c>
      <c r="EL50" t="s">
        <v>121</v>
      </c>
      <c r="EM50" t="s">
        <v>122</v>
      </c>
      <c r="EO50" t="s">
        <v>3</v>
      </c>
      <c r="EQ50">
        <v>0</v>
      </c>
      <c r="ER50">
        <v>1229.96</v>
      </c>
      <c r="ES50">
        <v>594.79</v>
      </c>
      <c r="ET50">
        <v>26.64</v>
      </c>
      <c r="EU50">
        <v>4.6399999999999997</v>
      </c>
      <c r="EV50">
        <v>608.53</v>
      </c>
      <c r="EW50">
        <v>75.22</v>
      </c>
      <c r="EX50">
        <v>0.4</v>
      </c>
      <c r="EY50">
        <v>0</v>
      </c>
      <c r="FQ50">
        <v>0</v>
      </c>
      <c r="FR50">
        <f t="shared" si="47"/>
        <v>0</v>
      </c>
      <c r="FS50">
        <v>0</v>
      </c>
      <c r="FT50" t="s">
        <v>38</v>
      </c>
      <c r="FU50" t="s">
        <v>39</v>
      </c>
      <c r="FX50">
        <v>99</v>
      </c>
      <c r="FY50">
        <v>59.5</v>
      </c>
      <c r="GA50" t="s">
        <v>3</v>
      </c>
      <c r="GD50">
        <v>0</v>
      </c>
      <c r="GF50">
        <v>-821599733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8"/>
        <v>0</v>
      </c>
      <c r="GM50">
        <f t="shared" si="49"/>
        <v>4918.84</v>
      </c>
      <c r="GN50">
        <f t="shared" si="50"/>
        <v>4918.84</v>
      </c>
      <c r="GO50">
        <f t="shared" si="51"/>
        <v>0</v>
      </c>
      <c r="GP50">
        <f t="shared" si="52"/>
        <v>0</v>
      </c>
      <c r="GR50">
        <v>0</v>
      </c>
      <c r="GS50">
        <v>3</v>
      </c>
      <c r="GT50">
        <v>0</v>
      </c>
      <c r="GU50" t="s">
        <v>3</v>
      </c>
      <c r="GV50">
        <f t="shared" si="53"/>
        <v>0</v>
      </c>
      <c r="GW50">
        <v>1</v>
      </c>
      <c r="GX50">
        <f t="shared" si="54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58</v>
      </c>
      <c r="E51" t="s">
        <v>131</v>
      </c>
      <c r="F51" t="s">
        <v>132</v>
      </c>
      <c r="G51" t="s">
        <v>133</v>
      </c>
      <c r="H51" t="s">
        <v>119</v>
      </c>
      <c r="I51">
        <f>I50*J51</f>
        <v>0.35099999999999998</v>
      </c>
      <c r="J51">
        <v>1.0399999999999998</v>
      </c>
      <c r="O51">
        <f t="shared" si="21"/>
        <v>1272.1199999999999</v>
      </c>
      <c r="P51">
        <f t="shared" si="22"/>
        <v>1272.1199999999999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39616881</v>
      </c>
      <c r="AB51">
        <f t="shared" si="32"/>
        <v>548.29999999999995</v>
      </c>
      <c r="AC51">
        <f t="shared" si="33"/>
        <v>548.29999999999995</v>
      </c>
      <c r="AD51">
        <f t="shared" si="62"/>
        <v>0</v>
      </c>
      <c r="AE51">
        <f t="shared" si="63"/>
        <v>0</v>
      </c>
      <c r="AF51">
        <f t="shared" si="63"/>
        <v>0</v>
      </c>
      <c r="AG51">
        <f t="shared" si="34"/>
        <v>0</v>
      </c>
      <c r="AH51">
        <f t="shared" si="64"/>
        <v>0</v>
      </c>
      <c r="AI51">
        <f t="shared" si="64"/>
        <v>0</v>
      </c>
      <c r="AJ51">
        <f t="shared" si="35"/>
        <v>0</v>
      </c>
      <c r="AK51">
        <v>548.29999999999995</v>
      </c>
      <c r="AL51">
        <v>548.29999999999995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99</v>
      </c>
      <c r="AU51">
        <v>60</v>
      </c>
      <c r="AV51">
        <v>1</v>
      </c>
      <c r="AW51">
        <v>1</v>
      </c>
      <c r="AZ51">
        <v>6.61</v>
      </c>
      <c r="BA51">
        <v>1</v>
      </c>
      <c r="BB51">
        <v>1</v>
      </c>
      <c r="BC51">
        <v>6.61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134</v>
      </c>
      <c r="BM51">
        <v>46001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110</v>
      </c>
      <c r="CA51">
        <v>70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6"/>
        <v>1272.1199999999999</v>
      </c>
      <c r="CQ51">
        <f t="shared" si="37"/>
        <v>3624.2629999999999</v>
      </c>
      <c r="CR51">
        <f t="shared" si="38"/>
        <v>0</v>
      </c>
      <c r="CS51">
        <f t="shared" si="39"/>
        <v>0</v>
      </c>
      <c r="CT51">
        <f t="shared" si="40"/>
        <v>0</v>
      </c>
      <c r="CU51">
        <f t="shared" si="41"/>
        <v>0</v>
      </c>
      <c r="CV51">
        <f t="shared" si="42"/>
        <v>0</v>
      </c>
      <c r="CW51">
        <f t="shared" si="43"/>
        <v>0</v>
      </c>
      <c r="CX51">
        <f t="shared" si="44"/>
        <v>0</v>
      </c>
      <c r="CY51">
        <f t="shared" si="45"/>
        <v>0</v>
      </c>
      <c r="CZ51">
        <f t="shared" si="46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1007</v>
      </c>
      <c r="DV51" t="s">
        <v>119</v>
      </c>
      <c r="DW51" t="s">
        <v>119</v>
      </c>
      <c r="DX51">
        <v>1</v>
      </c>
      <c r="EE51">
        <v>39174571</v>
      </c>
      <c r="EF51">
        <v>2</v>
      </c>
      <c r="EG51" t="s">
        <v>34</v>
      </c>
      <c r="EH51">
        <v>0</v>
      </c>
      <c r="EI51" t="s">
        <v>3</v>
      </c>
      <c r="EJ51">
        <v>1</v>
      </c>
      <c r="EK51">
        <v>46001</v>
      </c>
      <c r="EL51" t="s">
        <v>121</v>
      </c>
      <c r="EM51" t="s">
        <v>122</v>
      </c>
      <c r="EO51" t="s">
        <v>3</v>
      </c>
      <c r="EQ51">
        <v>0</v>
      </c>
      <c r="ER51">
        <v>548.29999999999995</v>
      </c>
      <c r="ES51">
        <v>548.29999999999995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7"/>
        <v>0</v>
      </c>
      <c r="FS51">
        <v>0</v>
      </c>
      <c r="FT51" t="s">
        <v>38</v>
      </c>
      <c r="FU51" t="s">
        <v>39</v>
      </c>
      <c r="FX51">
        <v>99</v>
      </c>
      <c r="FY51">
        <v>59.5</v>
      </c>
      <c r="GA51" t="s">
        <v>3</v>
      </c>
      <c r="GD51">
        <v>0</v>
      </c>
      <c r="GF51">
        <v>-1970722706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8"/>
        <v>0</v>
      </c>
      <c r="GM51">
        <f t="shared" si="49"/>
        <v>1272.1199999999999</v>
      </c>
      <c r="GN51">
        <f t="shared" si="50"/>
        <v>1272.1199999999999</v>
      </c>
      <c r="GO51">
        <f t="shared" si="51"/>
        <v>0</v>
      </c>
      <c r="GP51">
        <f t="shared" si="52"/>
        <v>0</v>
      </c>
      <c r="GR51">
        <v>0</v>
      </c>
      <c r="GS51">
        <v>3</v>
      </c>
      <c r="GT51">
        <v>0</v>
      </c>
      <c r="GU51" t="s">
        <v>3</v>
      </c>
      <c r="GV51">
        <f t="shared" si="53"/>
        <v>0</v>
      </c>
      <c r="GW51">
        <v>1</v>
      </c>
      <c r="GX51">
        <f t="shared" si="54"/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57</v>
      </c>
      <c r="E52" t="s">
        <v>135</v>
      </c>
      <c r="F52" t="s">
        <v>136</v>
      </c>
      <c r="G52" t="s">
        <v>137</v>
      </c>
      <c r="H52" t="s">
        <v>119</v>
      </c>
      <c r="I52">
        <f>I50*J52</f>
        <v>0.35099999999999998</v>
      </c>
      <c r="J52">
        <v>1.0399999999999998</v>
      </c>
      <c r="O52">
        <f t="shared" si="21"/>
        <v>0</v>
      </c>
      <c r="P52">
        <f t="shared" si="22"/>
        <v>0</v>
      </c>
      <c r="Q52">
        <f t="shared" si="23"/>
        <v>0</v>
      </c>
      <c r="R52">
        <f t="shared" si="24"/>
        <v>0</v>
      </c>
      <c r="S52">
        <f t="shared" si="25"/>
        <v>0</v>
      </c>
      <c r="T52">
        <f t="shared" si="26"/>
        <v>0</v>
      </c>
      <c r="U52">
        <f t="shared" si="27"/>
        <v>0</v>
      </c>
      <c r="V52">
        <f t="shared" si="28"/>
        <v>0</v>
      </c>
      <c r="W52">
        <f t="shared" si="29"/>
        <v>0</v>
      </c>
      <c r="X52">
        <f t="shared" si="30"/>
        <v>0</v>
      </c>
      <c r="Y52">
        <f t="shared" si="31"/>
        <v>0</v>
      </c>
      <c r="AA52">
        <v>39616881</v>
      </c>
      <c r="AB52">
        <f t="shared" si="32"/>
        <v>0</v>
      </c>
      <c r="AC52">
        <f t="shared" si="33"/>
        <v>0</v>
      </c>
      <c r="AD52">
        <f t="shared" si="62"/>
        <v>0</v>
      </c>
      <c r="AE52">
        <f t="shared" si="63"/>
        <v>0</v>
      </c>
      <c r="AF52">
        <f t="shared" si="63"/>
        <v>0</v>
      </c>
      <c r="AG52">
        <f t="shared" si="34"/>
        <v>0</v>
      </c>
      <c r="AH52">
        <f t="shared" si="64"/>
        <v>0</v>
      </c>
      <c r="AI52">
        <f t="shared" si="64"/>
        <v>0</v>
      </c>
      <c r="AJ52">
        <f t="shared" si="35"/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99</v>
      </c>
      <c r="AU52">
        <v>60</v>
      </c>
      <c r="AV52">
        <v>1</v>
      </c>
      <c r="AW52">
        <v>1</v>
      </c>
      <c r="AZ52">
        <v>6.61</v>
      </c>
      <c r="BA52">
        <v>1</v>
      </c>
      <c r="BB52">
        <v>1</v>
      </c>
      <c r="BC52">
        <v>6.61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1</v>
      </c>
      <c r="BJ52" t="s">
        <v>3</v>
      </c>
      <c r="BM52">
        <v>46001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110</v>
      </c>
      <c r="CA52">
        <v>70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6"/>
        <v>0</v>
      </c>
      <c r="CQ52">
        <f t="shared" si="37"/>
        <v>0</v>
      </c>
      <c r="CR52">
        <f t="shared" si="38"/>
        <v>0</v>
      </c>
      <c r="CS52">
        <f t="shared" si="39"/>
        <v>0</v>
      </c>
      <c r="CT52">
        <f t="shared" si="40"/>
        <v>0</v>
      </c>
      <c r="CU52">
        <f t="shared" si="41"/>
        <v>0</v>
      </c>
      <c r="CV52">
        <f t="shared" si="42"/>
        <v>0</v>
      </c>
      <c r="CW52">
        <f t="shared" si="43"/>
        <v>0</v>
      </c>
      <c r="CX52">
        <f t="shared" si="44"/>
        <v>0</v>
      </c>
      <c r="CY52">
        <f t="shared" si="45"/>
        <v>0</v>
      </c>
      <c r="CZ52">
        <f t="shared" si="46"/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1007</v>
      </c>
      <c r="DV52" t="s">
        <v>119</v>
      </c>
      <c r="DW52" t="s">
        <v>119</v>
      </c>
      <c r="DX52">
        <v>1</v>
      </c>
      <c r="EE52">
        <v>39174571</v>
      </c>
      <c r="EF52">
        <v>2</v>
      </c>
      <c r="EG52" t="s">
        <v>34</v>
      </c>
      <c r="EH52">
        <v>0</v>
      </c>
      <c r="EI52" t="s">
        <v>3</v>
      </c>
      <c r="EJ52">
        <v>1</v>
      </c>
      <c r="EK52">
        <v>46001</v>
      </c>
      <c r="EL52" t="s">
        <v>121</v>
      </c>
      <c r="EM52" t="s">
        <v>122</v>
      </c>
      <c r="EO52" t="s">
        <v>3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7"/>
        <v>0</v>
      </c>
      <c r="FS52">
        <v>0</v>
      </c>
      <c r="FT52" t="s">
        <v>38</v>
      </c>
      <c r="FU52" t="s">
        <v>39</v>
      </c>
      <c r="FX52">
        <v>99</v>
      </c>
      <c r="FY52">
        <v>59.5</v>
      </c>
      <c r="GA52" t="s">
        <v>3</v>
      </c>
      <c r="GD52">
        <v>0</v>
      </c>
      <c r="GF52">
        <v>-792076634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8"/>
        <v>0</v>
      </c>
      <c r="GM52">
        <f t="shared" si="49"/>
        <v>0</v>
      </c>
      <c r="GN52">
        <f t="shared" si="50"/>
        <v>0</v>
      </c>
      <c r="GO52">
        <f t="shared" si="51"/>
        <v>0</v>
      </c>
      <c r="GP52">
        <f t="shared" si="52"/>
        <v>0</v>
      </c>
      <c r="GR52">
        <v>0</v>
      </c>
      <c r="GS52">
        <v>3</v>
      </c>
      <c r="GT52">
        <v>0</v>
      </c>
      <c r="GU52" t="s">
        <v>3</v>
      </c>
      <c r="GV52">
        <f t="shared" si="53"/>
        <v>0</v>
      </c>
      <c r="GW52">
        <v>1</v>
      </c>
      <c r="GX52">
        <f t="shared" si="54"/>
        <v>0</v>
      </c>
      <c r="HA52">
        <v>0</v>
      </c>
      <c r="HB52">
        <v>0</v>
      </c>
      <c r="IK52">
        <v>0</v>
      </c>
    </row>
    <row r="53" spans="1:245" x14ac:dyDescent="0.2">
      <c r="A53">
        <v>17</v>
      </c>
      <c r="B53">
        <v>1</v>
      </c>
      <c r="C53">
        <f>ROW(SmtRes!A70)</f>
        <v>70</v>
      </c>
      <c r="D53">
        <f>ROW(EtalonRes!A69)</f>
        <v>69</v>
      </c>
      <c r="E53" t="s">
        <v>138</v>
      </c>
      <c r="F53" t="s">
        <v>139</v>
      </c>
      <c r="G53" t="s">
        <v>140</v>
      </c>
      <c r="H53" t="s">
        <v>25</v>
      </c>
      <c r="I53">
        <f>ROUND(189.4/100,9)</f>
        <v>1.8939999999999999</v>
      </c>
      <c r="J53">
        <v>0</v>
      </c>
      <c r="O53">
        <f t="shared" si="21"/>
        <v>4272.1000000000004</v>
      </c>
      <c r="P53">
        <f t="shared" si="22"/>
        <v>15.52</v>
      </c>
      <c r="Q53">
        <f t="shared" si="23"/>
        <v>266.54000000000002</v>
      </c>
      <c r="R53">
        <f t="shared" si="24"/>
        <v>157.74</v>
      </c>
      <c r="S53">
        <f t="shared" si="25"/>
        <v>3990.04</v>
      </c>
      <c r="T53">
        <f t="shared" si="26"/>
        <v>0</v>
      </c>
      <c r="U53">
        <f t="shared" si="27"/>
        <v>70.766469000000001</v>
      </c>
      <c r="V53">
        <f t="shared" si="28"/>
        <v>2.201775</v>
      </c>
      <c r="W53">
        <f t="shared" si="29"/>
        <v>0</v>
      </c>
      <c r="X53">
        <f t="shared" si="30"/>
        <v>3940.39</v>
      </c>
      <c r="Y53">
        <f t="shared" si="31"/>
        <v>1949.46</v>
      </c>
      <c r="AA53">
        <v>39616881</v>
      </c>
      <c r="AB53">
        <f t="shared" si="32"/>
        <v>341.24</v>
      </c>
      <c r="AC53">
        <f t="shared" si="33"/>
        <v>1.24</v>
      </c>
      <c r="AD53">
        <f>ROUND(((((ET53*1.25))-((EU53*1.25)))+AE53),2)</f>
        <v>21.29</v>
      </c>
      <c r="AE53">
        <f>ROUND(((EU53*1.25)),2)</f>
        <v>12.6</v>
      </c>
      <c r="AF53">
        <f>ROUND(((EV53*1.15)),2)</f>
        <v>318.70999999999998</v>
      </c>
      <c r="AG53">
        <f t="shared" si="34"/>
        <v>0</v>
      </c>
      <c r="AH53">
        <f>((EW53*1.15))</f>
        <v>37.363500000000002</v>
      </c>
      <c r="AI53">
        <f>((EX53*1.25))</f>
        <v>1.1625000000000001</v>
      </c>
      <c r="AJ53">
        <f t="shared" si="35"/>
        <v>0</v>
      </c>
      <c r="AK53">
        <v>295.41000000000003</v>
      </c>
      <c r="AL53">
        <v>1.24</v>
      </c>
      <c r="AM53">
        <v>17.03</v>
      </c>
      <c r="AN53">
        <v>10.08</v>
      </c>
      <c r="AO53">
        <v>277.14</v>
      </c>
      <c r="AP53">
        <v>0</v>
      </c>
      <c r="AQ53">
        <v>32.49</v>
      </c>
      <c r="AR53">
        <v>0.93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6.61</v>
      </c>
      <c r="BA53">
        <v>6.61</v>
      </c>
      <c r="BB53">
        <v>6.61</v>
      </c>
      <c r="BC53">
        <v>6.61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1</v>
      </c>
      <c r="BJ53" t="s">
        <v>141</v>
      </c>
      <c r="BM53">
        <v>15001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6.61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31</v>
      </c>
      <c r="CO53">
        <v>0</v>
      </c>
      <c r="CP53">
        <f t="shared" si="36"/>
        <v>4272.1000000000004</v>
      </c>
      <c r="CQ53">
        <f t="shared" si="37"/>
        <v>8.1964000000000006</v>
      </c>
      <c r="CR53">
        <f t="shared" si="38"/>
        <v>140.7269</v>
      </c>
      <c r="CS53">
        <f t="shared" si="39"/>
        <v>83.286000000000001</v>
      </c>
      <c r="CT53">
        <f t="shared" si="40"/>
        <v>2106.6731</v>
      </c>
      <c r="CU53">
        <f t="shared" si="41"/>
        <v>0</v>
      </c>
      <c r="CV53">
        <f t="shared" si="42"/>
        <v>37.363500000000002</v>
      </c>
      <c r="CW53">
        <f t="shared" si="43"/>
        <v>1.1625000000000001</v>
      </c>
      <c r="CX53">
        <f t="shared" si="44"/>
        <v>0</v>
      </c>
      <c r="CY53">
        <f t="shared" si="45"/>
        <v>3940.3909999999996</v>
      </c>
      <c r="CZ53">
        <f t="shared" si="46"/>
        <v>1949.4565999999998</v>
      </c>
      <c r="DC53" t="s">
        <v>3</v>
      </c>
      <c r="DD53" t="s">
        <v>3</v>
      </c>
      <c r="DE53" t="s">
        <v>32</v>
      </c>
      <c r="DF53" t="s">
        <v>32</v>
      </c>
      <c r="DG53" t="s">
        <v>33</v>
      </c>
      <c r="DH53" t="s">
        <v>3</v>
      </c>
      <c r="DI53" t="s">
        <v>33</v>
      </c>
      <c r="DJ53" t="s">
        <v>32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25</v>
      </c>
      <c r="DW53" t="s">
        <v>25</v>
      </c>
      <c r="DX53">
        <v>100</v>
      </c>
      <c r="EE53">
        <v>39174529</v>
      </c>
      <c r="EF53">
        <v>2</v>
      </c>
      <c r="EG53" t="s">
        <v>34</v>
      </c>
      <c r="EH53">
        <v>0</v>
      </c>
      <c r="EI53" t="s">
        <v>3</v>
      </c>
      <c r="EJ53">
        <v>1</v>
      </c>
      <c r="EK53">
        <v>15001</v>
      </c>
      <c r="EL53" t="s">
        <v>35</v>
      </c>
      <c r="EM53" t="s">
        <v>36</v>
      </c>
      <c r="EO53" t="s">
        <v>37</v>
      </c>
      <c r="EQ53">
        <v>0</v>
      </c>
      <c r="ER53">
        <v>295.41000000000003</v>
      </c>
      <c r="ES53">
        <v>1.24</v>
      </c>
      <c r="ET53">
        <v>17.03</v>
      </c>
      <c r="EU53">
        <v>10.08</v>
      </c>
      <c r="EV53">
        <v>277.14</v>
      </c>
      <c r="EW53">
        <v>32.49</v>
      </c>
      <c r="EX53">
        <v>0.93</v>
      </c>
      <c r="EY53">
        <v>0</v>
      </c>
      <c r="FQ53">
        <v>0</v>
      </c>
      <c r="FR53">
        <f t="shared" si="47"/>
        <v>0</v>
      </c>
      <c r="FS53">
        <v>0</v>
      </c>
      <c r="FT53" t="s">
        <v>38</v>
      </c>
      <c r="FU53" t="s">
        <v>39</v>
      </c>
      <c r="FX53">
        <v>94.5</v>
      </c>
      <c r="FY53">
        <v>46.75</v>
      </c>
      <c r="GA53" t="s">
        <v>3</v>
      </c>
      <c r="GD53">
        <v>0</v>
      </c>
      <c r="GF53">
        <v>-357803777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8"/>
        <v>0</v>
      </c>
      <c r="GM53">
        <f t="shared" si="49"/>
        <v>10161.950000000001</v>
      </c>
      <c r="GN53">
        <f t="shared" si="50"/>
        <v>10161.950000000001</v>
      </c>
      <c r="GO53">
        <f t="shared" si="51"/>
        <v>0</v>
      </c>
      <c r="GP53">
        <f t="shared" si="52"/>
        <v>0</v>
      </c>
      <c r="GR53">
        <v>0</v>
      </c>
      <c r="GS53">
        <v>3</v>
      </c>
      <c r="GT53">
        <v>0</v>
      </c>
      <c r="GU53" t="s">
        <v>3</v>
      </c>
      <c r="GV53">
        <f t="shared" si="53"/>
        <v>0</v>
      </c>
      <c r="GW53">
        <v>1</v>
      </c>
      <c r="GX53">
        <f t="shared" si="54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68</v>
      </c>
      <c r="E54" t="s">
        <v>142</v>
      </c>
      <c r="F54" t="s">
        <v>143</v>
      </c>
      <c r="G54" t="s">
        <v>144</v>
      </c>
      <c r="H54" t="s">
        <v>77</v>
      </c>
      <c r="I54">
        <f>I53*J54</f>
        <v>1609.9</v>
      </c>
      <c r="J54">
        <v>850.00000000000011</v>
      </c>
      <c r="O54">
        <f t="shared" si="21"/>
        <v>22027.78</v>
      </c>
      <c r="P54">
        <f t="shared" si="22"/>
        <v>22027.78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39616881</v>
      </c>
      <c r="AB54">
        <f t="shared" si="32"/>
        <v>2.0699999999999998</v>
      </c>
      <c r="AC54">
        <f t="shared" si="33"/>
        <v>2.0699999999999998</v>
      </c>
      <c r="AD54">
        <f>ROUND((((ET54)-(EU54))+AE54),2)</f>
        <v>0</v>
      </c>
      <c r="AE54">
        <f t="shared" ref="AE54:AF56" si="65">ROUND((EU54),2)</f>
        <v>0</v>
      </c>
      <c r="AF54">
        <f t="shared" si="65"/>
        <v>0</v>
      </c>
      <c r="AG54">
        <f t="shared" si="34"/>
        <v>0</v>
      </c>
      <c r="AH54">
        <f t="shared" ref="AH54:AI56" si="66">(EW54)</f>
        <v>0</v>
      </c>
      <c r="AI54">
        <f t="shared" si="66"/>
        <v>0</v>
      </c>
      <c r="AJ54">
        <f t="shared" si="35"/>
        <v>0</v>
      </c>
      <c r="AK54">
        <v>2.0699999999999998</v>
      </c>
      <c r="AL54">
        <v>2.0699999999999998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95</v>
      </c>
      <c r="AU54">
        <v>47</v>
      </c>
      <c r="AV54">
        <v>1</v>
      </c>
      <c r="AW54">
        <v>1</v>
      </c>
      <c r="AZ54">
        <v>6.61</v>
      </c>
      <c r="BA54">
        <v>1</v>
      </c>
      <c r="BB54">
        <v>1</v>
      </c>
      <c r="BC54">
        <v>6.61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145</v>
      </c>
      <c r="BM54">
        <v>15001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105</v>
      </c>
      <c r="CA54">
        <v>55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6"/>
        <v>22027.78</v>
      </c>
      <c r="CQ54">
        <f t="shared" si="37"/>
        <v>13.682699999999999</v>
      </c>
      <c r="CR54">
        <f t="shared" si="38"/>
        <v>0</v>
      </c>
      <c r="CS54">
        <f t="shared" si="39"/>
        <v>0</v>
      </c>
      <c r="CT54">
        <f t="shared" si="40"/>
        <v>0</v>
      </c>
      <c r="CU54">
        <f t="shared" si="41"/>
        <v>0</v>
      </c>
      <c r="CV54">
        <f t="shared" si="42"/>
        <v>0</v>
      </c>
      <c r="CW54">
        <f t="shared" si="43"/>
        <v>0</v>
      </c>
      <c r="CX54">
        <f t="shared" si="44"/>
        <v>0</v>
      </c>
      <c r="CY54">
        <f t="shared" si="45"/>
        <v>0</v>
      </c>
      <c r="CZ54">
        <f t="shared" si="46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1009</v>
      </c>
      <c r="DV54" t="s">
        <v>77</v>
      </c>
      <c r="DW54" t="s">
        <v>77</v>
      </c>
      <c r="DX54">
        <v>1</v>
      </c>
      <c r="EE54">
        <v>39174529</v>
      </c>
      <c r="EF54">
        <v>2</v>
      </c>
      <c r="EG54" t="s">
        <v>34</v>
      </c>
      <c r="EH54">
        <v>0</v>
      </c>
      <c r="EI54" t="s">
        <v>3</v>
      </c>
      <c r="EJ54">
        <v>1</v>
      </c>
      <c r="EK54">
        <v>15001</v>
      </c>
      <c r="EL54" t="s">
        <v>35</v>
      </c>
      <c r="EM54" t="s">
        <v>36</v>
      </c>
      <c r="EO54" t="s">
        <v>3</v>
      </c>
      <c r="EQ54">
        <v>0</v>
      </c>
      <c r="ER54">
        <v>2.0699999999999998</v>
      </c>
      <c r="ES54">
        <v>2.0699999999999998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7"/>
        <v>0</v>
      </c>
      <c r="FS54">
        <v>0</v>
      </c>
      <c r="FT54" t="s">
        <v>38</v>
      </c>
      <c r="FU54" t="s">
        <v>39</v>
      </c>
      <c r="FX54">
        <v>94.5</v>
      </c>
      <c r="FY54">
        <v>46.75</v>
      </c>
      <c r="GA54" t="s">
        <v>3</v>
      </c>
      <c r="GD54">
        <v>0</v>
      </c>
      <c r="GF54">
        <v>-60067644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8"/>
        <v>0</v>
      </c>
      <c r="GM54">
        <f t="shared" si="49"/>
        <v>22027.78</v>
      </c>
      <c r="GN54">
        <f t="shared" si="50"/>
        <v>22027.78</v>
      </c>
      <c r="GO54">
        <f t="shared" si="51"/>
        <v>0</v>
      </c>
      <c r="GP54">
        <f t="shared" si="52"/>
        <v>0</v>
      </c>
      <c r="GR54">
        <v>0</v>
      </c>
      <c r="GS54">
        <v>3</v>
      </c>
      <c r="GT54">
        <v>0</v>
      </c>
      <c r="GU54" t="s">
        <v>3</v>
      </c>
      <c r="GV54">
        <f t="shared" si="53"/>
        <v>0</v>
      </c>
      <c r="GW54">
        <v>1</v>
      </c>
      <c r="GX54">
        <f t="shared" si="54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69</v>
      </c>
      <c r="E55" t="s">
        <v>146</v>
      </c>
      <c r="F55" t="s">
        <v>147</v>
      </c>
      <c r="G55" t="s">
        <v>148</v>
      </c>
      <c r="H55" t="s">
        <v>72</v>
      </c>
      <c r="I55">
        <f>I53*J55</f>
        <v>1.6099000000000001</v>
      </c>
      <c r="J55">
        <v>0.85000000000000009</v>
      </c>
      <c r="O55">
        <f t="shared" si="21"/>
        <v>0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39616881</v>
      </c>
      <c r="AB55">
        <f t="shared" si="32"/>
        <v>0</v>
      </c>
      <c r="AC55">
        <f t="shared" si="33"/>
        <v>0</v>
      </c>
      <c r="AD55">
        <f>ROUND((((ET55)-(EU55))+AE55),2)</f>
        <v>0</v>
      </c>
      <c r="AE55">
        <f t="shared" si="65"/>
        <v>0</v>
      </c>
      <c r="AF55">
        <f t="shared" si="65"/>
        <v>0</v>
      </c>
      <c r="AG55">
        <f t="shared" si="34"/>
        <v>0</v>
      </c>
      <c r="AH55">
        <f t="shared" si="66"/>
        <v>0</v>
      </c>
      <c r="AI55">
        <f t="shared" si="66"/>
        <v>0</v>
      </c>
      <c r="AJ55">
        <f t="shared" si="35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6.61</v>
      </c>
      <c r="BA55">
        <v>1</v>
      </c>
      <c r="BB55">
        <v>1</v>
      </c>
      <c r="BC55">
        <v>6.61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3</v>
      </c>
      <c r="BM55">
        <v>15001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6"/>
        <v>0</v>
      </c>
      <c r="CQ55">
        <f t="shared" si="37"/>
        <v>0</v>
      </c>
      <c r="CR55">
        <f t="shared" si="38"/>
        <v>0</v>
      </c>
      <c r="CS55">
        <f t="shared" si="39"/>
        <v>0</v>
      </c>
      <c r="CT55">
        <f t="shared" si="40"/>
        <v>0</v>
      </c>
      <c r="CU55">
        <f t="shared" si="41"/>
        <v>0</v>
      </c>
      <c r="CV55">
        <f t="shared" si="42"/>
        <v>0</v>
      </c>
      <c r="CW55">
        <f t="shared" si="43"/>
        <v>0</v>
      </c>
      <c r="CX55">
        <f t="shared" si="44"/>
        <v>0</v>
      </c>
      <c r="CY55">
        <f t="shared" si="45"/>
        <v>0</v>
      </c>
      <c r="CZ55">
        <f t="shared" si="46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72</v>
      </c>
      <c r="DW55" t="s">
        <v>72</v>
      </c>
      <c r="DX55">
        <v>1000</v>
      </c>
      <c r="EE55">
        <v>39174529</v>
      </c>
      <c r="EF55">
        <v>2</v>
      </c>
      <c r="EG55" t="s">
        <v>34</v>
      </c>
      <c r="EH55">
        <v>0</v>
      </c>
      <c r="EI55" t="s">
        <v>3</v>
      </c>
      <c r="EJ55">
        <v>1</v>
      </c>
      <c r="EK55">
        <v>15001</v>
      </c>
      <c r="EL55" t="s">
        <v>35</v>
      </c>
      <c r="EM55" t="s">
        <v>36</v>
      </c>
      <c r="EO55" t="s">
        <v>3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7"/>
        <v>0</v>
      </c>
      <c r="FS55">
        <v>0</v>
      </c>
      <c r="FT55" t="s">
        <v>38</v>
      </c>
      <c r="FU55" t="s">
        <v>39</v>
      </c>
      <c r="FX55">
        <v>94.5</v>
      </c>
      <c r="FY55">
        <v>46.75</v>
      </c>
      <c r="GA55" t="s">
        <v>3</v>
      </c>
      <c r="GD55">
        <v>0</v>
      </c>
      <c r="GF55">
        <v>1880203204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8"/>
        <v>0</v>
      </c>
      <c r="GM55">
        <f t="shared" si="49"/>
        <v>0</v>
      </c>
      <c r="GN55">
        <f t="shared" si="50"/>
        <v>0</v>
      </c>
      <c r="GO55">
        <f t="shared" si="51"/>
        <v>0</v>
      </c>
      <c r="GP55">
        <f t="shared" si="52"/>
        <v>0</v>
      </c>
      <c r="GR55">
        <v>0</v>
      </c>
      <c r="GS55">
        <v>3</v>
      </c>
      <c r="GT55">
        <v>0</v>
      </c>
      <c r="GU55" t="s">
        <v>3</v>
      </c>
      <c r="GV55">
        <f t="shared" si="53"/>
        <v>0</v>
      </c>
      <c r="GW55">
        <v>1</v>
      </c>
      <c r="GX55">
        <f t="shared" si="54"/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70</v>
      </c>
      <c r="E56" t="s">
        <v>149</v>
      </c>
      <c r="F56" t="s">
        <v>150</v>
      </c>
      <c r="G56" t="s">
        <v>151</v>
      </c>
      <c r="H56" t="s">
        <v>72</v>
      </c>
      <c r="I56">
        <f>I53*J56</f>
        <v>2.4622000000000002E-2</v>
      </c>
      <c r="J56">
        <v>1.3000000000000001E-2</v>
      </c>
      <c r="O56">
        <f t="shared" si="21"/>
        <v>1887.1</v>
      </c>
      <c r="P56">
        <f t="shared" si="22"/>
        <v>1887.1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39616881</v>
      </c>
      <c r="AB56">
        <f t="shared" si="32"/>
        <v>11594.98</v>
      </c>
      <c r="AC56">
        <f t="shared" si="33"/>
        <v>11594.98</v>
      </c>
      <c r="AD56">
        <f>ROUND((((ET56)-(EU56))+AE56),2)</f>
        <v>0</v>
      </c>
      <c r="AE56">
        <f t="shared" si="65"/>
        <v>0</v>
      </c>
      <c r="AF56">
        <f t="shared" si="65"/>
        <v>0</v>
      </c>
      <c r="AG56">
        <f t="shared" si="34"/>
        <v>0</v>
      </c>
      <c r="AH56">
        <f t="shared" si="66"/>
        <v>0</v>
      </c>
      <c r="AI56">
        <f t="shared" si="66"/>
        <v>0</v>
      </c>
      <c r="AJ56">
        <f t="shared" si="35"/>
        <v>0</v>
      </c>
      <c r="AK56">
        <v>11594.98</v>
      </c>
      <c r="AL56">
        <v>11594.98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95</v>
      </c>
      <c r="AU56">
        <v>47</v>
      </c>
      <c r="AV56">
        <v>1</v>
      </c>
      <c r="AW56">
        <v>1</v>
      </c>
      <c r="AZ56">
        <v>6.61</v>
      </c>
      <c r="BA56">
        <v>1</v>
      </c>
      <c r="BB56">
        <v>1</v>
      </c>
      <c r="BC56">
        <v>6.61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152</v>
      </c>
      <c r="BM56">
        <v>15001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105</v>
      </c>
      <c r="CA56">
        <v>55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si="36"/>
        <v>1887.1</v>
      </c>
      <c r="CQ56">
        <f t="shared" si="37"/>
        <v>76642.817800000004</v>
      </c>
      <c r="CR56">
        <f t="shared" si="38"/>
        <v>0</v>
      </c>
      <c r="CS56">
        <f t="shared" si="39"/>
        <v>0</v>
      </c>
      <c r="CT56">
        <f t="shared" si="40"/>
        <v>0</v>
      </c>
      <c r="CU56">
        <f t="shared" si="41"/>
        <v>0</v>
      </c>
      <c r="CV56">
        <f t="shared" si="42"/>
        <v>0</v>
      </c>
      <c r="CW56">
        <f t="shared" si="43"/>
        <v>0</v>
      </c>
      <c r="CX56">
        <f t="shared" si="44"/>
        <v>0</v>
      </c>
      <c r="CY56">
        <f t="shared" si="45"/>
        <v>0</v>
      </c>
      <c r="CZ56">
        <f t="shared" si="46"/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1009</v>
      </c>
      <c r="DV56" t="s">
        <v>72</v>
      </c>
      <c r="DW56" t="s">
        <v>72</v>
      </c>
      <c r="DX56">
        <v>1000</v>
      </c>
      <c r="EE56">
        <v>39174529</v>
      </c>
      <c r="EF56">
        <v>2</v>
      </c>
      <c r="EG56" t="s">
        <v>34</v>
      </c>
      <c r="EH56">
        <v>0</v>
      </c>
      <c r="EI56" t="s">
        <v>3</v>
      </c>
      <c r="EJ56">
        <v>1</v>
      </c>
      <c r="EK56">
        <v>15001</v>
      </c>
      <c r="EL56" t="s">
        <v>35</v>
      </c>
      <c r="EM56" t="s">
        <v>36</v>
      </c>
      <c r="EO56" t="s">
        <v>3</v>
      </c>
      <c r="EQ56">
        <v>0</v>
      </c>
      <c r="ER56">
        <v>11594.98</v>
      </c>
      <c r="ES56">
        <v>11594.98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7"/>
        <v>0</v>
      </c>
      <c r="FS56">
        <v>0</v>
      </c>
      <c r="FT56" t="s">
        <v>38</v>
      </c>
      <c r="FU56" t="s">
        <v>39</v>
      </c>
      <c r="FX56">
        <v>94.5</v>
      </c>
      <c r="FY56">
        <v>46.75</v>
      </c>
      <c r="GA56" t="s">
        <v>3</v>
      </c>
      <c r="GD56">
        <v>0</v>
      </c>
      <c r="GF56">
        <v>-1565467692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8"/>
        <v>0</v>
      </c>
      <c r="GM56">
        <f t="shared" si="49"/>
        <v>1887.1</v>
      </c>
      <c r="GN56">
        <f t="shared" si="50"/>
        <v>1887.1</v>
      </c>
      <c r="GO56">
        <f t="shared" si="51"/>
        <v>0</v>
      </c>
      <c r="GP56">
        <f t="shared" si="52"/>
        <v>0</v>
      </c>
      <c r="GR56">
        <v>0</v>
      </c>
      <c r="GS56">
        <v>3</v>
      </c>
      <c r="GT56">
        <v>0</v>
      </c>
      <c r="GU56" t="s">
        <v>3</v>
      </c>
      <c r="GV56">
        <f t="shared" si="53"/>
        <v>0</v>
      </c>
      <c r="GW56">
        <v>1</v>
      </c>
      <c r="GX56">
        <f t="shared" si="54"/>
        <v>0</v>
      </c>
      <c r="HA56">
        <v>0</v>
      </c>
      <c r="HB56">
        <v>0</v>
      </c>
      <c r="IK56">
        <v>0</v>
      </c>
    </row>
    <row r="57" spans="1:245" x14ac:dyDescent="0.2">
      <c r="A57">
        <v>17</v>
      </c>
      <c r="B57">
        <v>1</v>
      </c>
      <c r="C57">
        <f>ROW(SmtRes!A77)</f>
        <v>77</v>
      </c>
      <c r="D57">
        <f>ROW(EtalonRes!A75)</f>
        <v>75</v>
      </c>
      <c r="E57" t="s">
        <v>153</v>
      </c>
      <c r="F57" t="s">
        <v>154</v>
      </c>
      <c r="G57" t="s">
        <v>155</v>
      </c>
      <c r="H57" t="s">
        <v>25</v>
      </c>
      <c r="I57">
        <f>ROUND(189.4/100,9)</f>
        <v>1.8939999999999999</v>
      </c>
      <c r="J57">
        <v>0</v>
      </c>
      <c r="O57">
        <f t="shared" si="21"/>
        <v>924.67</v>
      </c>
      <c r="P57">
        <f t="shared" si="22"/>
        <v>2.25</v>
      </c>
      <c r="Q57">
        <f t="shared" si="23"/>
        <v>15.27</v>
      </c>
      <c r="R57">
        <f t="shared" si="24"/>
        <v>4.13</v>
      </c>
      <c r="S57">
        <f t="shared" si="25"/>
        <v>907.15</v>
      </c>
      <c r="T57">
        <f t="shared" si="26"/>
        <v>0</v>
      </c>
      <c r="U57">
        <f t="shared" si="27"/>
        <v>14.266554999999997</v>
      </c>
      <c r="V57">
        <f t="shared" si="28"/>
        <v>4.7350000000000003E-2</v>
      </c>
      <c r="W57">
        <f t="shared" si="29"/>
        <v>0</v>
      </c>
      <c r="X57">
        <f t="shared" si="30"/>
        <v>865.72</v>
      </c>
      <c r="Y57">
        <f t="shared" si="31"/>
        <v>428.3</v>
      </c>
      <c r="AA57">
        <v>39616881</v>
      </c>
      <c r="AB57">
        <f t="shared" si="32"/>
        <v>73.86</v>
      </c>
      <c r="AC57">
        <f t="shared" si="33"/>
        <v>0.18</v>
      </c>
      <c r="AD57">
        <f>ROUND(((((ET57*1.25))-((EU57*1.25)))+AE57),2)</f>
        <v>1.22</v>
      </c>
      <c r="AE57">
        <f>ROUND(((EU57*1.25)),2)</f>
        <v>0.33</v>
      </c>
      <c r="AF57">
        <f>ROUND(((EV57*1.15)),2)</f>
        <v>72.459999999999994</v>
      </c>
      <c r="AG57">
        <f t="shared" si="34"/>
        <v>0</v>
      </c>
      <c r="AH57">
        <f>((EW57*1.15))</f>
        <v>7.5324999999999989</v>
      </c>
      <c r="AI57">
        <f>((EX57*1.25))</f>
        <v>2.5000000000000001E-2</v>
      </c>
      <c r="AJ57">
        <f t="shared" si="35"/>
        <v>0</v>
      </c>
      <c r="AK57">
        <v>64.16</v>
      </c>
      <c r="AL57">
        <v>0.18</v>
      </c>
      <c r="AM57">
        <v>0.97</v>
      </c>
      <c r="AN57">
        <v>0.26</v>
      </c>
      <c r="AO57">
        <v>63.01</v>
      </c>
      <c r="AP57">
        <v>0</v>
      </c>
      <c r="AQ57">
        <v>6.55</v>
      </c>
      <c r="AR57">
        <v>0.02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6.61</v>
      </c>
      <c r="BA57">
        <v>6.61</v>
      </c>
      <c r="BB57">
        <v>6.61</v>
      </c>
      <c r="BC57">
        <v>6.61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1</v>
      </c>
      <c r="BJ57" t="s">
        <v>156</v>
      </c>
      <c r="BM57">
        <v>15001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6.61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31</v>
      </c>
      <c r="CO57">
        <v>0</v>
      </c>
      <c r="CP57">
        <f t="shared" si="36"/>
        <v>924.67</v>
      </c>
      <c r="CQ57">
        <f t="shared" si="37"/>
        <v>1.1898</v>
      </c>
      <c r="CR57">
        <f t="shared" si="38"/>
        <v>8.0641999999999996</v>
      </c>
      <c r="CS57">
        <f t="shared" si="39"/>
        <v>2.1813000000000002</v>
      </c>
      <c r="CT57">
        <f t="shared" si="40"/>
        <v>478.9606</v>
      </c>
      <c r="CU57">
        <f t="shared" si="41"/>
        <v>0</v>
      </c>
      <c r="CV57">
        <f t="shared" si="42"/>
        <v>7.5324999999999989</v>
      </c>
      <c r="CW57">
        <f t="shared" si="43"/>
        <v>2.5000000000000001E-2</v>
      </c>
      <c r="CX57">
        <f t="shared" si="44"/>
        <v>0</v>
      </c>
      <c r="CY57">
        <f t="shared" si="45"/>
        <v>865.71599999999989</v>
      </c>
      <c r="CZ57">
        <f t="shared" si="46"/>
        <v>428.30159999999995</v>
      </c>
      <c r="DC57" t="s">
        <v>3</v>
      </c>
      <c r="DD57" t="s">
        <v>3</v>
      </c>
      <c r="DE57" t="s">
        <v>32</v>
      </c>
      <c r="DF57" t="s">
        <v>32</v>
      </c>
      <c r="DG57" t="s">
        <v>33</v>
      </c>
      <c r="DH57" t="s">
        <v>3</v>
      </c>
      <c r="DI57" t="s">
        <v>33</v>
      </c>
      <c r="DJ57" t="s">
        <v>32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25</v>
      </c>
      <c r="DW57" t="s">
        <v>25</v>
      </c>
      <c r="DX57">
        <v>100</v>
      </c>
      <c r="EE57">
        <v>39174529</v>
      </c>
      <c r="EF57">
        <v>2</v>
      </c>
      <c r="EG57" t="s">
        <v>34</v>
      </c>
      <c r="EH57">
        <v>0</v>
      </c>
      <c r="EI57" t="s">
        <v>3</v>
      </c>
      <c r="EJ57">
        <v>1</v>
      </c>
      <c r="EK57">
        <v>15001</v>
      </c>
      <c r="EL57" t="s">
        <v>35</v>
      </c>
      <c r="EM57" t="s">
        <v>36</v>
      </c>
      <c r="EO57" t="s">
        <v>37</v>
      </c>
      <c r="EQ57">
        <v>0</v>
      </c>
      <c r="ER57">
        <v>64.16</v>
      </c>
      <c r="ES57">
        <v>0.18</v>
      </c>
      <c r="ET57">
        <v>0.97</v>
      </c>
      <c r="EU57">
        <v>0.26</v>
      </c>
      <c r="EV57">
        <v>63.01</v>
      </c>
      <c r="EW57">
        <v>6.55</v>
      </c>
      <c r="EX57">
        <v>0.02</v>
      </c>
      <c r="EY57">
        <v>0</v>
      </c>
      <c r="FQ57">
        <v>0</v>
      </c>
      <c r="FR57">
        <f t="shared" si="47"/>
        <v>0</v>
      </c>
      <c r="FS57">
        <v>0</v>
      </c>
      <c r="FT57" t="s">
        <v>38</v>
      </c>
      <c r="FU57" t="s">
        <v>39</v>
      </c>
      <c r="FX57">
        <v>94.5</v>
      </c>
      <c r="FY57">
        <v>46.75</v>
      </c>
      <c r="GA57" t="s">
        <v>3</v>
      </c>
      <c r="GD57">
        <v>0</v>
      </c>
      <c r="GF57">
        <v>-2014629731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8"/>
        <v>0</v>
      </c>
      <c r="GM57">
        <f t="shared" si="49"/>
        <v>2218.69</v>
      </c>
      <c r="GN57">
        <f t="shared" si="50"/>
        <v>2218.69</v>
      </c>
      <c r="GO57">
        <f t="shared" si="51"/>
        <v>0</v>
      </c>
      <c r="GP57">
        <f t="shared" si="52"/>
        <v>0</v>
      </c>
      <c r="GR57">
        <v>0</v>
      </c>
      <c r="GS57">
        <v>3</v>
      </c>
      <c r="GT57">
        <v>0</v>
      </c>
      <c r="GU57" t="s">
        <v>3</v>
      </c>
      <c r="GV57">
        <f t="shared" si="53"/>
        <v>0</v>
      </c>
      <c r="GW57">
        <v>1</v>
      </c>
      <c r="GX57">
        <f t="shared" si="54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76</v>
      </c>
      <c r="E58" t="s">
        <v>157</v>
      </c>
      <c r="F58" t="s">
        <v>150</v>
      </c>
      <c r="G58" t="s">
        <v>151</v>
      </c>
      <c r="H58" t="s">
        <v>72</v>
      </c>
      <c r="I58">
        <f>I57*J58</f>
        <v>2.4622000000000002E-2</v>
      </c>
      <c r="J58">
        <v>1.3000000000000001E-2</v>
      </c>
      <c r="O58">
        <f t="shared" si="21"/>
        <v>1887.1</v>
      </c>
      <c r="P58">
        <f t="shared" si="22"/>
        <v>1887.1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39616881</v>
      </c>
      <c r="AB58">
        <f t="shared" si="32"/>
        <v>11594.98</v>
      </c>
      <c r="AC58">
        <f t="shared" si="33"/>
        <v>11594.98</v>
      </c>
      <c r="AD58">
        <f>ROUND((((ET58)-(EU58))+AE58),2)</f>
        <v>0</v>
      </c>
      <c r="AE58">
        <f>ROUND((EU58),2)</f>
        <v>0</v>
      </c>
      <c r="AF58">
        <f>ROUND((EV58),2)</f>
        <v>0</v>
      </c>
      <c r="AG58">
        <f t="shared" si="34"/>
        <v>0</v>
      </c>
      <c r="AH58">
        <f>(EW58)</f>
        <v>0</v>
      </c>
      <c r="AI58">
        <f>(EX58)</f>
        <v>0</v>
      </c>
      <c r="AJ58">
        <f t="shared" si="35"/>
        <v>0</v>
      </c>
      <c r="AK58">
        <v>11594.98</v>
      </c>
      <c r="AL58">
        <v>11594.98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95</v>
      </c>
      <c r="AU58">
        <v>47</v>
      </c>
      <c r="AV58">
        <v>1</v>
      </c>
      <c r="AW58">
        <v>1</v>
      </c>
      <c r="AZ58">
        <v>6.61</v>
      </c>
      <c r="BA58">
        <v>1</v>
      </c>
      <c r="BB58">
        <v>1</v>
      </c>
      <c r="BC58">
        <v>6.61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1</v>
      </c>
      <c r="BJ58" t="s">
        <v>152</v>
      </c>
      <c r="BM58">
        <v>15001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105</v>
      </c>
      <c r="CA58">
        <v>55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36"/>
        <v>1887.1</v>
      </c>
      <c r="CQ58">
        <f t="shared" si="37"/>
        <v>76642.817800000004</v>
      </c>
      <c r="CR58">
        <f t="shared" si="38"/>
        <v>0</v>
      </c>
      <c r="CS58">
        <f t="shared" si="39"/>
        <v>0</v>
      </c>
      <c r="CT58">
        <f t="shared" si="40"/>
        <v>0</v>
      </c>
      <c r="CU58">
        <f t="shared" si="41"/>
        <v>0</v>
      </c>
      <c r="CV58">
        <f t="shared" si="42"/>
        <v>0</v>
      </c>
      <c r="CW58">
        <f t="shared" si="43"/>
        <v>0</v>
      </c>
      <c r="CX58">
        <f t="shared" si="44"/>
        <v>0</v>
      </c>
      <c r="CY58">
        <f t="shared" si="45"/>
        <v>0</v>
      </c>
      <c r="CZ58">
        <f t="shared" si="46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1009</v>
      </c>
      <c r="DV58" t="s">
        <v>72</v>
      </c>
      <c r="DW58" t="s">
        <v>72</v>
      </c>
      <c r="DX58">
        <v>1000</v>
      </c>
      <c r="EE58">
        <v>39174529</v>
      </c>
      <c r="EF58">
        <v>2</v>
      </c>
      <c r="EG58" t="s">
        <v>34</v>
      </c>
      <c r="EH58">
        <v>0</v>
      </c>
      <c r="EI58" t="s">
        <v>3</v>
      </c>
      <c r="EJ58">
        <v>1</v>
      </c>
      <c r="EK58">
        <v>15001</v>
      </c>
      <c r="EL58" t="s">
        <v>35</v>
      </c>
      <c r="EM58" t="s">
        <v>36</v>
      </c>
      <c r="EO58" t="s">
        <v>3</v>
      </c>
      <c r="EQ58">
        <v>0</v>
      </c>
      <c r="ER58">
        <v>11594.98</v>
      </c>
      <c r="ES58">
        <v>11594.98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47"/>
        <v>0</v>
      </c>
      <c r="FS58">
        <v>0</v>
      </c>
      <c r="FT58" t="s">
        <v>38</v>
      </c>
      <c r="FU58" t="s">
        <v>39</v>
      </c>
      <c r="FX58">
        <v>94.5</v>
      </c>
      <c r="FY58">
        <v>46.75</v>
      </c>
      <c r="GA58" t="s">
        <v>3</v>
      </c>
      <c r="GD58">
        <v>0</v>
      </c>
      <c r="GF58">
        <v>-1565467692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8"/>
        <v>0</v>
      </c>
      <c r="GM58">
        <f t="shared" si="49"/>
        <v>1887.1</v>
      </c>
      <c r="GN58">
        <f t="shared" si="50"/>
        <v>1887.1</v>
      </c>
      <c r="GO58">
        <f t="shared" si="51"/>
        <v>0</v>
      </c>
      <c r="GP58">
        <f t="shared" si="52"/>
        <v>0</v>
      </c>
      <c r="GR58">
        <v>0</v>
      </c>
      <c r="GS58">
        <v>3</v>
      </c>
      <c r="GT58">
        <v>0</v>
      </c>
      <c r="GU58" t="s">
        <v>3</v>
      </c>
      <c r="GV58">
        <f t="shared" si="53"/>
        <v>0</v>
      </c>
      <c r="GW58">
        <v>1</v>
      </c>
      <c r="GX58">
        <f t="shared" si="54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77</v>
      </c>
      <c r="E59" t="s">
        <v>158</v>
      </c>
      <c r="F59" t="s">
        <v>159</v>
      </c>
      <c r="G59" t="s">
        <v>160</v>
      </c>
      <c r="H59" t="s">
        <v>72</v>
      </c>
      <c r="I59">
        <f>I57*J59</f>
        <v>2.4622000000000002E-2</v>
      </c>
      <c r="J59">
        <v>1.3000000000000001E-2</v>
      </c>
      <c r="O59">
        <f t="shared" si="21"/>
        <v>0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39616881</v>
      </c>
      <c r="AB59">
        <f t="shared" si="32"/>
        <v>0</v>
      </c>
      <c r="AC59">
        <f t="shared" si="33"/>
        <v>0</v>
      </c>
      <c r="AD59">
        <f>ROUND((((ET59)-(EU59))+AE59),2)</f>
        <v>0</v>
      </c>
      <c r="AE59">
        <f>ROUND((EU59),2)</f>
        <v>0</v>
      </c>
      <c r="AF59">
        <f>ROUND((EV59),2)</f>
        <v>0</v>
      </c>
      <c r="AG59">
        <f t="shared" si="34"/>
        <v>0</v>
      </c>
      <c r="AH59">
        <f>(EW59)</f>
        <v>0</v>
      </c>
      <c r="AI59">
        <f>(EX59)</f>
        <v>0</v>
      </c>
      <c r="AJ59">
        <f t="shared" si="35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6.61</v>
      </c>
      <c r="BA59">
        <v>1</v>
      </c>
      <c r="BB59">
        <v>1</v>
      </c>
      <c r="BC59">
        <v>6.61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3</v>
      </c>
      <c r="BM59">
        <v>15001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36"/>
        <v>0</v>
      </c>
      <c r="CQ59">
        <f t="shared" si="37"/>
        <v>0</v>
      </c>
      <c r="CR59">
        <f t="shared" si="38"/>
        <v>0</v>
      </c>
      <c r="CS59">
        <f t="shared" si="39"/>
        <v>0</v>
      </c>
      <c r="CT59">
        <f t="shared" si="40"/>
        <v>0</v>
      </c>
      <c r="CU59">
        <f t="shared" si="41"/>
        <v>0</v>
      </c>
      <c r="CV59">
        <f t="shared" si="42"/>
        <v>0</v>
      </c>
      <c r="CW59">
        <f t="shared" si="43"/>
        <v>0</v>
      </c>
      <c r="CX59">
        <f t="shared" si="44"/>
        <v>0</v>
      </c>
      <c r="CY59">
        <f t="shared" si="45"/>
        <v>0</v>
      </c>
      <c r="CZ59">
        <f t="shared" si="46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72</v>
      </c>
      <c r="DW59" t="s">
        <v>72</v>
      </c>
      <c r="DX59">
        <v>1000</v>
      </c>
      <c r="EE59">
        <v>39174529</v>
      </c>
      <c r="EF59">
        <v>2</v>
      </c>
      <c r="EG59" t="s">
        <v>34</v>
      </c>
      <c r="EH59">
        <v>0</v>
      </c>
      <c r="EI59" t="s">
        <v>3</v>
      </c>
      <c r="EJ59">
        <v>1</v>
      </c>
      <c r="EK59">
        <v>15001</v>
      </c>
      <c r="EL59" t="s">
        <v>35</v>
      </c>
      <c r="EM59" t="s">
        <v>36</v>
      </c>
      <c r="EO59" t="s">
        <v>3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7"/>
        <v>0</v>
      </c>
      <c r="FS59">
        <v>0</v>
      </c>
      <c r="FT59" t="s">
        <v>38</v>
      </c>
      <c r="FU59" t="s">
        <v>39</v>
      </c>
      <c r="FX59">
        <v>94.5</v>
      </c>
      <c r="FY59">
        <v>46.75</v>
      </c>
      <c r="GA59" t="s">
        <v>3</v>
      </c>
      <c r="GD59">
        <v>0</v>
      </c>
      <c r="GF59">
        <v>-1212923053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8"/>
        <v>0</v>
      </c>
      <c r="GM59">
        <f t="shared" si="49"/>
        <v>0</v>
      </c>
      <c r="GN59">
        <f t="shared" si="50"/>
        <v>0</v>
      </c>
      <c r="GO59">
        <f t="shared" si="51"/>
        <v>0</v>
      </c>
      <c r="GP59">
        <f t="shared" si="52"/>
        <v>0</v>
      </c>
      <c r="GR59">
        <v>0</v>
      </c>
      <c r="GS59">
        <v>3</v>
      </c>
      <c r="GT59">
        <v>0</v>
      </c>
      <c r="GU59" t="s">
        <v>3</v>
      </c>
      <c r="GV59">
        <f t="shared" si="53"/>
        <v>0</v>
      </c>
      <c r="GW59">
        <v>1</v>
      </c>
      <c r="GX59">
        <f t="shared" si="54"/>
        <v>0</v>
      </c>
      <c r="HA59">
        <v>0</v>
      </c>
      <c r="HB59">
        <v>0</v>
      </c>
      <c r="IK59">
        <v>0</v>
      </c>
    </row>
    <row r="60" spans="1:245" x14ac:dyDescent="0.2">
      <c r="A60">
        <v>17</v>
      </c>
      <c r="B60">
        <v>1</v>
      </c>
      <c r="C60">
        <f>ROW(SmtRes!A89)</f>
        <v>89</v>
      </c>
      <c r="D60">
        <f>ROW(EtalonRes!A86)</f>
        <v>86</v>
      </c>
      <c r="E60" t="s">
        <v>161</v>
      </c>
      <c r="F60" t="s">
        <v>162</v>
      </c>
      <c r="G60" t="s">
        <v>163</v>
      </c>
      <c r="H60" t="s">
        <v>25</v>
      </c>
      <c r="I60">
        <f>ROUND(189.4/100,9)</f>
        <v>1.8939999999999999</v>
      </c>
      <c r="J60">
        <v>0</v>
      </c>
      <c r="O60">
        <f t="shared" si="21"/>
        <v>5819.11</v>
      </c>
      <c r="P60">
        <f t="shared" si="22"/>
        <v>1514.09</v>
      </c>
      <c r="Q60">
        <f t="shared" si="23"/>
        <v>15.27</v>
      </c>
      <c r="R60">
        <f t="shared" si="24"/>
        <v>4.13</v>
      </c>
      <c r="S60">
        <f t="shared" si="25"/>
        <v>4289.75</v>
      </c>
      <c r="T60">
        <f t="shared" si="26"/>
        <v>0</v>
      </c>
      <c r="U60">
        <f t="shared" si="27"/>
        <v>73.249503000000004</v>
      </c>
      <c r="V60">
        <f t="shared" si="28"/>
        <v>4.7350000000000003E-2</v>
      </c>
      <c r="W60">
        <f t="shared" si="29"/>
        <v>0</v>
      </c>
      <c r="X60">
        <f t="shared" si="30"/>
        <v>4079.19</v>
      </c>
      <c r="Y60">
        <f t="shared" si="31"/>
        <v>2018.12</v>
      </c>
      <c r="AA60">
        <v>39616881</v>
      </c>
      <c r="AB60">
        <f t="shared" si="32"/>
        <v>464.81</v>
      </c>
      <c r="AC60">
        <f t="shared" si="33"/>
        <v>120.94</v>
      </c>
      <c r="AD60">
        <f>ROUND(((((ET60*1.25))-((EU60*1.25)))+AE60),2)</f>
        <v>1.22</v>
      </c>
      <c r="AE60">
        <f>ROUND(((EU60*1.25)),2)</f>
        <v>0.33</v>
      </c>
      <c r="AF60">
        <f>ROUND(((EV60*1.15)),2)</f>
        <v>342.65</v>
      </c>
      <c r="AG60">
        <f t="shared" si="34"/>
        <v>0</v>
      </c>
      <c r="AH60">
        <f>((EW60*1.15))</f>
        <v>38.674500000000002</v>
      </c>
      <c r="AI60">
        <f>((EX60*1.25))</f>
        <v>2.5000000000000001E-2</v>
      </c>
      <c r="AJ60">
        <f t="shared" si="35"/>
        <v>0</v>
      </c>
      <c r="AK60">
        <v>419.87</v>
      </c>
      <c r="AL60">
        <v>120.94</v>
      </c>
      <c r="AM60">
        <v>0.97</v>
      </c>
      <c r="AN60">
        <v>0.26</v>
      </c>
      <c r="AO60">
        <v>297.95999999999998</v>
      </c>
      <c r="AP60">
        <v>0</v>
      </c>
      <c r="AQ60">
        <v>33.630000000000003</v>
      </c>
      <c r="AR60">
        <v>0.02</v>
      </c>
      <c r="AS60">
        <v>0</v>
      </c>
      <c r="AT60">
        <v>95</v>
      </c>
      <c r="AU60">
        <v>47</v>
      </c>
      <c r="AV60">
        <v>1</v>
      </c>
      <c r="AW60">
        <v>1</v>
      </c>
      <c r="AZ60">
        <v>6.61</v>
      </c>
      <c r="BA60">
        <v>6.61</v>
      </c>
      <c r="BB60">
        <v>6.61</v>
      </c>
      <c r="BC60">
        <v>6.61</v>
      </c>
      <c r="BD60" t="s">
        <v>3</v>
      </c>
      <c r="BE60" t="s">
        <v>3</v>
      </c>
      <c r="BF60" t="s">
        <v>3</v>
      </c>
      <c r="BG60" t="s">
        <v>3</v>
      </c>
      <c r="BH60">
        <v>0</v>
      </c>
      <c r="BI60">
        <v>1</v>
      </c>
      <c r="BJ60" t="s">
        <v>164</v>
      </c>
      <c r="BM60">
        <v>15001</v>
      </c>
      <c r="BN60">
        <v>0</v>
      </c>
      <c r="BO60" t="s">
        <v>3</v>
      </c>
      <c r="BP60">
        <v>0</v>
      </c>
      <c r="BQ60">
        <v>2</v>
      </c>
      <c r="BR60">
        <v>0</v>
      </c>
      <c r="BS60">
        <v>6.61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105</v>
      </c>
      <c r="CA60">
        <v>55</v>
      </c>
      <c r="CF60">
        <v>0</v>
      </c>
      <c r="CG60">
        <v>0</v>
      </c>
      <c r="CM60">
        <v>0</v>
      </c>
      <c r="CN60" t="s">
        <v>31</v>
      </c>
      <c r="CO60">
        <v>0</v>
      </c>
      <c r="CP60">
        <f t="shared" si="36"/>
        <v>5819.11</v>
      </c>
      <c r="CQ60">
        <f t="shared" si="37"/>
        <v>799.41340000000002</v>
      </c>
      <c r="CR60">
        <f t="shared" si="38"/>
        <v>8.0641999999999996</v>
      </c>
      <c r="CS60">
        <f t="shared" si="39"/>
        <v>2.1813000000000002</v>
      </c>
      <c r="CT60">
        <f t="shared" si="40"/>
        <v>2264.9164999999998</v>
      </c>
      <c r="CU60">
        <f t="shared" si="41"/>
        <v>0</v>
      </c>
      <c r="CV60">
        <f t="shared" si="42"/>
        <v>38.674500000000002</v>
      </c>
      <c r="CW60">
        <f t="shared" si="43"/>
        <v>2.5000000000000001E-2</v>
      </c>
      <c r="CX60">
        <f t="shared" si="44"/>
        <v>0</v>
      </c>
      <c r="CY60">
        <f t="shared" si="45"/>
        <v>4079.1860000000001</v>
      </c>
      <c r="CZ60">
        <f t="shared" si="46"/>
        <v>2018.1236000000001</v>
      </c>
      <c r="DC60" t="s">
        <v>3</v>
      </c>
      <c r="DD60" t="s">
        <v>3</v>
      </c>
      <c r="DE60" t="s">
        <v>32</v>
      </c>
      <c r="DF60" t="s">
        <v>32</v>
      </c>
      <c r="DG60" t="s">
        <v>33</v>
      </c>
      <c r="DH60" t="s">
        <v>3</v>
      </c>
      <c r="DI60" t="s">
        <v>33</v>
      </c>
      <c r="DJ60" t="s">
        <v>32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1005</v>
      </c>
      <c r="DV60" t="s">
        <v>25</v>
      </c>
      <c r="DW60" t="s">
        <v>25</v>
      </c>
      <c r="DX60">
        <v>100</v>
      </c>
      <c r="EE60">
        <v>39174529</v>
      </c>
      <c r="EF60">
        <v>2</v>
      </c>
      <c r="EG60" t="s">
        <v>34</v>
      </c>
      <c r="EH60">
        <v>0</v>
      </c>
      <c r="EI60" t="s">
        <v>3</v>
      </c>
      <c r="EJ60">
        <v>1</v>
      </c>
      <c r="EK60">
        <v>15001</v>
      </c>
      <c r="EL60" t="s">
        <v>35</v>
      </c>
      <c r="EM60" t="s">
        <v>36</v>
      </c>
      <c r="EO60" t="s">
        <v>37</v>
      </c>
      <c r="EQ60">
        <v>0</v>
      </c>
      <c r="ER60">
        <v>419.87</v>
      </c>
      <c r="ES60">
        <v>120.94</v>
      </c>
      <c r="ET60">
        <v>0.97</v>
      </c>
      <c r="EU60">
        <v>0.26</v>
      </c>
      <c r="EV60">
        <v>297.95999999999998</v>
      </c>
      <c r="EW60">
        <v>33.630000000000003</v>
      </c>
      <c r="EX60">
        <v>0.02</v>
      </c>
      <c r="EY60">
        <v>0</v>
      </c>
      <c r="FQ60">
        <v>0</v>
      </c>
      <c r="FR60">
        <f t="shared" si="47"/>
        <v>0</v>
      </c>
      <c r="FS60">
        <v>0</v>
      </c>
      <c r="FT60" t="s">
        <v>38</v>
      </c>
      <c r="FU60" t="s">
        <v>39</v>
      </c>
      <c r="FX60">
        <v>94.5</v>
      </c>
      <c r="FY60">
        <v>46.75</v>
      </c>
      <c r="GA60" t="s">
        <v>3</v>
      </c>
      <c r="GD60">
        <v>0</v>
      </c>
      <c r="GF60">
        <v>33197345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si="48"/>
        <v>0</v>
      </c>
      <c r="GM60">
        <f t="shared" si="49"/>
        <v>11916.42</v>
      </c>
      <c r="GN60">
        <f t="shared" si="50"/>
        <v>11916.42</v>
      </c>
      <c r="GO60">
        <f t="shared" si="51"/>
        <v>0</v>
      </c>
      <c r="GP60">
        <f t="shared" si="52"/>
        <v>0</v>
      </c>
      <c r="GR60">
        <v>0</v>
      </c>
      <c r="GS60">
        <v>3</v>
      </c>
      <c r="GT60">
        <v>0</v>
      </c>
      <c r="GU60" t="s">
        <v>3</v>
      </c>
      <c r="GV60">
        <f t="shared" si="53"/>
        <v>0</v>
      </c>
      <c r="GW60">
        <v>1</v>
      </c>
      <c r="GX60">
        <f t="shared" si="54"/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83</v>
      </c>
      <c r="E61" t="s">
        <v>165</v>
      </c>
      <c r="F61" t="s">
        <v>166</v>
      </c>
      <c r="G61" t="s">
        <v>167</v>
      </c>
      <c r="H61" t="s">
        <v>168</v>
      </c>
      <c r="I61">
        <f>I60*J61</f>
        <v>21.402200000000001</v>
      </c>
      <c r="J61">
        <v>11.3</v>
      </c>
      <c r="O61">
        <f t="shared" si="21"/>
        <v>15611.05</v>
      </c>
      <c r="P61">
        <f t="shared" si="22"/>
        <v>15611.05</v>
      </c>
      <c r="Q61">
        <f t="shared" si="23"/>
        <v>0</v>
      </c>
      <c r="R61">
        <f t="shared" si="24"/>
        <v>0</v>
      </c>
      <c r="S61">
        <f t="shared" si="25"/>
        <v>0</v>
      </c>
      <c r="T61">
        <f t="shared" si="26"/>
        <v>0</v>
      </c>
      <c r="U61">
        <f t="shared" si="27"/>
        <v>0</v>
      </c>
      <c r="V61">
        <f t="shared" si="28"/>
        <v>0</v>
      </c>
      <c r="W61">
        <f t="shared" si="29"/>
        <v>0</v>
      </c>
      <c r="X61">
        <f t="shared" si="30"/>
        <v>0</v>
      </c>
      <c r="Y61">
        <f t="shared" si="31"/>
        <v>0</v>
      </c>
      <c r="AA61">
        <v>39616881</v>
      </c>
      <c r="AB61">
        <f t="shared" si="32"/>
        <v>110.35</v>
      </c>
      <c r="AC61">
        <f t="shared" si="33"/>
        <v>110.35</v>
      </c>
      <c r="AD61">
        <f>ROUND((((ET61)-(EU61))+AE61),2)</f>
        <v>0</v>
      </c>
      <c r="AE61">
        <f>ROUND((EU61),2)</f>
        <v>0</v>
      </c>
      <c r="AF61">
        <f>ROUND((EV61),2)</f>
        <v>0</v>
      </c>
      <c r="AG61">
        <f t="shared" si="34"/>
        <v>0</v>
      </c>
      <c r="AH61">
        <f>(EW61)</f>
        <v>0</v>
      </c>
      <c r="AI61">
        <f>(EX61)</f>
        <v>0</v>
      </c>
      <c r="AJ61">
        <f t="shared" si="35"/>
        <v>0</v>
      </c>
      <c r="AK61">
        <v>110.35</v>
      </c>
      <c r="AL61">
        <v>110.35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6.61</v>
      </c>
      <c r="BA61">
        <v>1</v>
      </c>
      <c r="BB61">
        <v>1</v>
      </c>
      <c r="BC61">
        <v>6.61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1</v>
      </c>
      <c r="BJ61" t="s">
        <v>169</v>
      </c>
      <c r="BM61">
        <v>15001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36"/>
        <v>15611.05</v>
      </c>
      <c r="CQ61">
        <f t="shared" si="37"/>
        <v>729.4135</v>
      </c>
      <c r="CR61">
        <f t="shared" si="38"/>
        <v>0</v>
      </c>
      <c r="CS61">
        <f t="shared" si="39"/>
        <v>0</v>
      </c>
      <c r="CT61">
        <f t="shared" si="40"/>
        <v>0</v>
      </c>
      <c r="CU61">
        <f t="shared" si="41"/>
        <v>0</v>
      </c>
      <c r="CV61">
        <f t="shared" si="42"/>
        <v>0</v>
      </c>
      <c r="CW61">
        <f t="shared" si="43"/>
        <v>0</v>
      </c>
      <c r="CX61">
        <f t="shared" si="44"/>
        <v>0</v>
      </c>
      <c r="CY61">
        <f t="shared" si="45"/>
        <v>0</v>
      </c>
      <c r="CZ61">
        <f t="shared" si="46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168</v>
      </c>
      <c r="DW61" t="s">
        <v>168</v>
      </c>
      <c r="DX61">
        <v>10</v>
      </c>
      <c r="EE61">
        <v>39174529</v>
      </c>
      <c r="EF61">
        <v>2</v>
      </c>
      <c r="EG61" t="s">
        <v>34</v>
      </c>
      <c r="EH61">
        <v>0</v>
      </c>
      <c r="EI61" t="s">
        <v>3</v>
      </c>
      <c r="EJ61">
        <v>1</v>
      </c>
      <c r="EK61">
        <v>15001</v>
      </c>
      <c r="EL61" t="s">
        <v>35</v>
      </c>
      <c r="EM61" t="s">
        <v>36</v>
      </c>
      <c r="EO61" t="s">
        <v>3</v>
      </c>
      <c r="EQ61">
        <v>0</v>
      </c>
      <c r="ER61">
        <v>110.35</v>
      </c>
      <c r="ES61">
        <v>110.35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47"/>
        <v>0</v>
      </c>
      <c r="FS61">
        <v>0</v>
      </c>
      <c r="FT61" t="s">
        <v>38</v>
      </c>
      <c r="FU61" t="s">
        <v>39</v>
      </c>
      <c r="FX61">
        <v>94.5</v>
      </c>
      <c r="FY61">
        <v>46.75</v>
      </c>
      <c r="GA61" t="s">
        <v>3</v>
      </c>
      <c r="GD61">
        <v>0</v>
      </c>
      <c r="GF61">
        <v>-1663288052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48"/>
        <v>0</v>
      </c>
      <c r="GM61">
        <f t="shared" si="49"/>
        <v>15611.05</v>
      </c>
      <c r="GN61">
        <f t="shared" si="50"/>
        <v>15611.05</v>
      </c>
      <c r="GO61">
        <f t="shared" si="51"/>
        <v>0</v>
      </c>
      <c r="GP61">
        <f t="shared" si="52"/>
        <v>0</v>
      </c>
      <c r="GR61">
        <v>0</v>
      </c>
      <c r="GS61">
        <v>3</v>
      </c>
      <c r="GT61">
        <v>0</v>
      </c>
      <c r="GU61" t="s">
        <v>3</v>
      </c>
      <c r="GV61">
        <f t="shared" si="53"/>
        <v>0</v>
      </c>
      <c r="GW61">
        <v>1</v>
      </c>
      <c r="GX61">
        <f t="shared" si="54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82</v>
      </c>
      <c r="E62" t="s">
        <v>170</v>
      </c>
      <c r="F62" t="s">
        <v>171</v>
      </c>
      <c r="G62" t="s">
        <v>172</v>
      </c>
      <c r="H62" t="s">
        <v>25</v>
      </c>
      <c r="I62">
        <f>I60*J62</f>
        <v>2.1402199999999998</v>
      </c>
      <c r="J62">
        <v>1.1299999999999999</v>
      </c>
      <c r="O62">
        <f t="shared" si="21"/>
        <v>0</v>
      </c>
      <c r="P62">
        <f t="shared" si="22"/>
        <v>0</v>
      </c>
      <c r="Q62">
        <f t="shared" si="23"/>
        <v>0</v>
      </c>
      <c r="R62">
        <f t="shared" si="24"/>
        <v>0</v>
      </c>
      <c r="S62">
        <f t="shared" si="25"/>
        <v>0</v>
      </c>
      <c r="T62">
        <f t="shared" si="26"/>
        <v>0</v>
      </c>
      <c r="U62">
        <f t="shared" si="27"/>
        <v>0</v>
      </c>
      <c r="V62">
        <f t="shared" si="28"/>
        <v>0</v>
      </c>
      <c r="W62">
        <f t="shared" si="29"/>
        <v>0</v>
      </c>
      <c r="X62">
        <f t="shared" si="30"/>
        <v>0</v>
      </c>
      <c r="Y62">
        <f t="shared" si="31"/>
        <v>0</v>
      </c>
      <c r="AA62">
        <v>39616881</v>
      </c>
      <c r="AB62">
        <f t="shared" si="32"/>
        <v>0</v>
      </c>
      <c r="AC62">
        <f t="shared" si="33"/>
        <v>0</v>
      </c>
      <c r="AD62">
        <f>ROUND((((ET62)-(EU62))+AE62),2)</f>
        <v>0</v>
      </c>
      <c r="AE62">
        <f>ROUND((EU62),2)</f>
        <v>0</v>
      </c>
      <c r="AF62">
        <f>ROUND((EV62),2)</f>
        <v>0</v>
      </c>
      <c r="AG62">
        <f t="shared" si="34"/>
        <v>0</v>
      </c>
      <c r="AH62">
        <f>(EW62)</f>
        <v>0</v>
      </c>
      <c r="AI62">
        <f>(EX62)</f>
        <v>0</v>
      </c>
      <c r="AJ62">
        <f t="shared" si="35"/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47</v>
      </c>
      <c r="AV62">
        <v>1</v>
      </c>
      <c r="AW62">
        <v>1</v>
      </c>
      <c r="AZ62">
        <v>6.61</v>
      </c>
      <c r="BA62">
        <v>1</v>
      </c>
      <c r="BB62">
        <v>1</v>
      </c>
      <c r="BC62">
        <v>6.61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1</v>
      </c>
      <c r="BJ62" t="s">
        <v>3</v>
      </c>
      <c r="BM62">
        <v>15001</v>
      </c>
      <c r="BN62">
        <v>0</v>
      </c>
      <c r="BO62" t="s">
        <v>3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105</v>
      </c>
      <c r="CA62">
        <v>55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36"/>
        <v>0</v>
      </c>
      <c r="CQ62">
        <f t="shared" si="37"/>
        <v>0</v>
      </c>
      <c r="CR62">
        <f t="shared" si="38"/>
        <v>0</v>
      </c>
      <c r="CS62">
        <f t="shared" si="39"/>
        <v>0</v>
      </c>
      <c r="CT62">
        <f t="shared" si="40"/>
        <v>0</v>
      </c>
      <c r="CU62">
        <f t="shared" si="41"/>
        <v>0</v>
      </c>
      <c r="CV62">
        <f t="shared" si="42"/>
        <v>0</v>
      </c>
      <c r="CW62">
        <f t="shared" si="43"/>
        <v>0</v>
      </c>
      <c r="CX62">
        <f t="shared" si="44"/>
        <v>0</v>
      </c>
      <c r="CY62">
        <f t="shared" si="45"/>
        <v>0</v>
      </c>
      <c r="CZ62">
        <f t="shared" si="46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1005</v>
      </c>
      <c r="DV62" t="s">
        <v>25</v>
      </c>
      <c r="DW62" t="s">
        <v>25</v>
      </c>
      <c r="DX62">
        <v>100</v>
      </c>
      <c r="EE62">
        <v>39174529</v>
      </c>
      <c r="EF62">
        <v>2</v>
      </c>
      <c r="EG62" t="s">
        <v>34</v>
      </c>
      <c r="EH62">
        <v>0</v>
      </c>
      <c r="EI62" t="s">
        <v>3</v>
      </c>
      <c r="EJ62">
        <v>1</v>
      </c>
      <c r="EK62">
        <v>15001</v>
      </c>
      <c r="EL62" t="s">
        <v>35</v>
      </c>
      <c r="EM62" t="s">
        <v>36</v>
      </c>
      <c r="EO62" t="s">
        <v>3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47"/>
        <v>0</v>
      </c>
      <c r="FS62">
        <v>0</v>
      </c>
      <c r="FT62" t="s">
        <v>38</v>
      </c>
      <c r="FU62" t="s">
        <v>39</v>
      </c>
      <c r="FX62">
        <v>94.5</v>
      </c>
      <c r="FY62">
        <v>46.75</v>
      </c>
      <c r="GA62" t="s">
        <v>3</v>
      </c>
      <c r="GD62">
        <v>0</v>
      </c>
      <c r="GF62">
        <v>-93777278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48"/>
        <v>0</v>
      </c>
      <c r="GM62">
        <f t="shared" si="49"/>
        <v>0</v>
      </c>
      <c r="GN62">
        <f t="shared" si="50"/>
        <v>0</v>
      </c>
      <c r="GO62">
        <f t="shared" si="51"/>
        <v>0</v>
      </c>
      <c r="GP62">
        <f t="shared" si="52"/>
        <v>0</v>
      </c>
      <c r="GR62">
        <v>0</v>
      </c>
      <c r="GS62">
        <v>3</v>
      </c>
      <c r="GT62">
        <v>0</v>
      </c>
      <c r="GU62" t="s">
        <v>3</v>
      </c>
      <c r="GV62">
        <f t="shared" si="53"/>
        <v>0</v>
      </c>
      <c r="GW62">
        <v>1</v>
      </c>
      <c r="GX62">
        <f t="shared" si="54"/>
        <v>0</v>
      </c>
      <c r="HA62">
        <v>0</v>
      </c>
      <c r="HB62">
        <v>0</v>
      </c>
      <c r="IK62">
        <v>0</v>
      </c>
    </row>
    <row r="63" spans="1:245" x14ac:dyDescent="0.2">
      <c r="A63">
        <v>17</v>
      </c>
      <c r="B63">
        <v>1</v>
      </c>
      <c r="C63">
        <f>ROW(SmtRes!A98)</f>
        <v>98</v>
      </c>
      <c r="D63">
        <f>ROW(EtalonRes!A94)</f>
        <v>94</v>
      </c>
      <c r="E63" t="s">
        <v>173</v>
      </c>
      <c r="F63" t="s">
        <v>174</v>
      </c>
      <c r="G63" t="s">
        <v>175</v>
      </c>
      <c r="H63" t="s">
        <v>25</v>
      </c>
      <c r="I63">
        <f>ROUND(189.4/100,9)</f>
        <v>1.8939999999999999</v>
      </c>
      <c r="J63">
        <v>0</v>
      </c>
      <c r="O63">
        <f t="shared" si="21"/>
        <v>4425.71</v>
      </c>
      <c r="P63">
        <f t="shared" si="22"/>
        <v>1036.3499999999999</v>
      </c>
      <c r="Q63">
        <f t="shared" si="23"/>
        <v>107.79</v>
      </c>
      <c r="R63">
        <f t="shared" si="24"/>
        <v>20.41</v>
      </c>
      <c r="S63">
        <f t="shared" si="25"/>
        <v>3281.57</v>
      </c>
      <c r="T63">
        <f t="shared" si="26"/>
        <v>0</v>
      </c>
      <c r="U63">
        <f t="shared" si="27"/>
        <v>55.345520999999998</v>
      </c>
      <c r="V63">
        <f t="shared" si="28"/>
        <v>0.26042500000000002</v>
      </c>
      <c r="W63">
        <f t="shared" si="29"/>
        <v>0</v>
      </c>
      <c r="X63">
        <f t="shared" si="30"/>
        <v>3136.88</v>
      </c>
      <c r="Y63">
        <f t="shared" si="31"/>
        <v>1551.93</v>
      </c>
      <c r="AA63">
        <v>39616881</v>
      </c>
      <c r="AB63">
        <f t="shared" si="32"/>
        <v>353.51</v>
      </c>
      <c r="AC63">
        <f t="shared" si="33"/>
        <v>82.78</v>
      </c>
      <c r="AD63">
        <f>ROUND(((((ET63*1.25))-((EU63*1.25)))+AE63),2)</f>
        <v>8.61</v>
      </c>
      <c r="AE63">
        <f>ROUND(((EU63*1.25)),2)</f>
        <v>1.63</v>
      </c>
      <c r="AF63">
        <f>ROUND(((EV63*1.15)),2)</f>
        <v>262.12</v>
      </c>
      <c r="AG63">
        <f t="shared" si="34"/>
        <v>0</v>
      </c>
      <c r="AH63">
        <f>((EW63*1.15))</f>
        <v>29.221499999999999</v>
      </c>
      <c r="AI63">
        <f>((EX63*1.25))</f>
        <v>0.13750000000000001</v>
      </c>
      <c r="AJ63">
        <f t="shared" si="35"/>
        <v>0</v>
      </c>
      <c r="AK63">
        <v>317.58999999999997</v>
      </c>
      <c r="AL63">
        <v>82.78</v>
      </c>
      <c r="AM63">
        <v>6.88</v>
      </c>
      <c r="AN63">
        <v>1.3</v>
      </c>
      <c r="AO63">
        <v>227.93</v>
      </c>
      <c r="AP63">
        <v>0</v>
      </c>
      <c r="AQ63">
        <v>25.41</v>
      </c>
      <c r="AR63">
        <v>0.11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6.61</v>
      </c>
      <c r="BA63">
        <v>6.61</v>
      </c>
      <c r="BB63">
        <v>6.61</v>
      </c>
      <c r="BC63">
        <v>6.61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176</v>
      </c>
      <c r="BM63">
        <v>15001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6.61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105</v>
      </c>
      <c r="CA63">
        <v>55</v>
      </c>
      <c r="CF63">
        <v>0</v>
      </c>
      <c r="CG63">
        <v>0</v>
      </c>
      <c r="CM63">
        <v>0</v>
      </c>
      <c r="CN63" t="s">
        <v>31</v>
      </c>
      <c r="CO63">
        <v>0</v>
      </c>
      <c r="CP63">
        <f t="shared" si="36"/>
        <v>4425.71</v>
      </c>
      <c r="CQ63">
        <f t="shared" si="37"/>
        <v>547.17579999999998</v>
      </c>
      <c r="CR63">
        <f t="shared" si="38"/>
        <v>56.912100000000002</v>
      </c>
      <c r="CS63">
        <f t="shared" si="39"/>
        <v>10.7743</v>
      </c>
      <c r="CT63">
        <f t="shared" si="40"/>
        <v>1732.6132</v>
      </c>
      <c r="CU63">
        <f t="shared" si="41"/>
        <v>0</v>
      </c>
      <c r="CV63">
        <f t="shared" si="42"/>
        <v>29.221499999999999</v>
      </c>
      <c r="CW63">
        <f t="shared" si="43"/>
        <v>0.13750000000000001</v>
      </c>
      <c r="CX63">
        <f t="shared" si="44"/>
        <v>0</v>
      </c>
      <c r="CY63">
        <f t="shared" si="45"/>
        <v>3136.8809999999999</v>
      </c>
      <c r="CZ63">
        <f t="shared" si="46"/>
        <v>1551.9305999999999</v>
      </c>
      <c r="DC63" t="s">
        <v>3</v>
      </c>
      <c r="DD63" t="s">
        <v>3</v>
      </c>
      <c r="DE63" t="s">
        <v>32</v>
      </c>
      <c r="DF63" t="s">
        <v>32</v>
      </c>
      <c r="DG63" t="s">
        <v>33</v>
      </c>
      <c r="DH63" t="s">
        <v>3</v>
      </c>
      <c r="DI63" t="s">
        <v>33</v>
      </c>
      <c r="DJ63" t="s">
        <v>32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25</v>
      </c>
      <c r="DW63" t="s">
        <v>25</v>
      </c>
      <c r="DX63">
        <v>100</v>
      </c>
      <c r="EE63">
        <v>39174529</v>
      </c>
      <c r="EF63">
        <v>2</v>
      </c>
      <c r="EG63" t="s">
        <v>34</v>
      </c>
      <c r="EH63">
        <v>0</v>
      </c>
      <c r="EI63" t="s">
        <v>3</v>
      </c>
      <c r="EJ63">
        <v>1</v>
      </c>
      <c r="EK63">
        <v>15001</v>
      </c>
      <c r="EL63" t="s">
        <v>35</v>
      </c>
      <c r="EM63" t="s">
        <v>36</v>
      </c>
      <c r="EO63" t="s">
        <v>37</v>
      </c>
      <c r="EQ63">
        <v>0</v>
      </c>
      <c r="ER63">
        <v>317.58999999999997</v>
      </c>
      <c r="ES63">
        <v>82.78</v>
      </c>
      <c r="ET63">
        <v>6.88</v>
      </c>
      <c r="EU63">
        <v>1.3</v>
      </c>
      <c r="EV63">
        <v>227.93</v>
      </c>
      <c r="EW63">
        <v>25.41</v>
      </c>
      <c r="EX63">
        <v>0.11</v>
      </c>
      <c r="EY63">
        <v>0</v>
      </c>
      <c r="FQ63">
        <v>0</v>
      </c>
      <c r="FR63">
        <f t="shared" si="47"/>
        <v>0</v>
      </c>
      <c r="FS63">
        <v>0</v>
      </c>
      <c r="FT63" t="s">
        <v>38</v>
      </c>
      <c r="FU63" t="s">
        <v>39</v>
      </c>
      <c r="FX63">
        <v>94.5</v>
      </c>
      <c r="FY63">
        <v>46.75</v>
      </c>
      <c r="GA63" t="s">
        <v>3</v>
      </c>
      <c r="GD63">
        <v>0</v>
      </c>
      <c r="GF63">
        <v>-1561068069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48"/>
        <v>0</v>
      </c>
      <c r="GM63">
        <f t="shared" si="49"/>
        <v>9114.52</v>
      </c>
      <c r="GN63">
        <f t="shared" si="50"/>
        <v>9114.52</v>
      </c>
      <c r="GO63">
        <f t="shared" si="51"/>
        <v>0</v>
      </c>
      <c r="GP63">
        <f t="shared" si="52"/>
        <v>0</v>
      </c>
      <c r="GR63">
        <v>0</v>
      </c>
      <c r="GS63">
        <v>3</v>
      </c>
      <c r="GT63">
        <v>0</v>
      </c>
      <c r="GU63" t="s">
        <v>3</v>
      </c>
      <c r="GV63">
        <f t="shared" si="53"/>
        <v>0</v>
      </c>
      <c r="GW63">
        <v>1</v>
      </c>
      <c r="GX63">
        <f t="shared" si="54"/>
        <v>0</v>
      </c>
      <c r="HA63">
        <v>0</v>
      </c>
      <c r="HB63">
        <v>0</v>
      </c>
      <c r="IK63">
        <v>0</v>
      </c>
    </row>
    <row r="64" spans="1:245" x14ac:dyDescent="0.2">
      <c r="A64">
        <v>18</v>
      </c>
      <c r="B64">
        <v>1</v>
      </c>
      <c r="C64">
        <v>98</v>
      </c>
      <c r="E64" t="s">
        <v>177</v>
      </c>
      <c r="F64" t="s">
        <v>178</v>
      </c>
      <c r="G64" t="s">
        <v>179</v>
      </c>
      <c r="H64" t="s">
        <v>77</v>
      </c>
      <c r="I64">
        <f>I63*J64</f>
        <v>119.322</v>
      </c>
      <c r="J64">
        <v>63.000000000000007</v>
      </c>
      <c r="O64">
        <f t="shared" si="21"/>
        <v>24663.22</v>
      </c>
      <c r="P64">
        <f t="shared" si="22"/>
        <v>24663.22</v>
      </c>
      <c r="Q64">
        <f t="shared" si="23"/>
        <v>0</v>
      </c>
      <c r="R64">
        <f t="shared" si="24"/>
        <v>0</v>
      </c>
      <c r="S64">
        <f t="shared" si="25"/>
        <v>0</v>
      </c>
      <c r="T64">
        <f t="shared" si="26"/>
        <v>0</v>
      </c>
      <c r="U64">
        <f t="shared" si="27"/>
        <v>0</v>
      </c>
      <c r="V64">
        <f t="shared" si="28"/>
        <v>0</v>
      </c>
      <c r="W64">
        <f t="shared" si="29"/>
        <v>0</v>
      </c>
      <c r="X64">
        <f t="shared" si="30"/>
        <v>0</v>
      </c>
      <c r="Y64">
        <f t="shared" si="31"/>
        <v>0</v>
      </c>
      <c r="AA64">
        <v>39616881</v>
      </c>
      <c r="AB64">
        <f t="shared" si="32"/>
        <v>31.27</v>
      </c>
      <c r="AC64">
        <f t="shared" si="33"/>
        <v>31.27</v>
      </c>
      <c r="AD64">
        <f>ROUND((((ET64)-(EU64))+AE64),2)</f>
        <v>0</v>
      </c>
      <c r="AE64">
        <f>ROUND((EU64),2)</f>
        <v>0</v>
      </c>
      <c r="AF64">
        <f>ROUND((EV64),2)</f>
        <v>0</v>
      </c>
      <c r="AG64">
        <f t="shared" si="34"/>
        <v>0</v>
      </c>
      <c r="AH64">
        <f>(EW64)</f>
        <v>0</v>
      </c>
      <c r="AI64">
        <f>(EX64)</f>
        <v>0</v>
      </c>
      <c r="AJ64">
        <f t="shared" si="35"/>
        <v>0</v>
      </c>
      <c r="AK64">
        <v>31.27</v>
      </c>
      <c r="AL64">
        <v>31.27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95</v>
      </c>
      <c r="AU64">
        <v>47</v>
      </c>
      <c r="AV64">
        <v>1</v>
      </c>
      <c r="AW64">
        <v>1</v>
      </c>
      <c r="AZ64">
        <v>6.61</v>
      </c>
      <c r="BA64">
        <v>1</v>
      </c>
      <c r="BB64">
        <v>1</v>
      </c>
      <c r="BC64">
        <v>6.61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1</v>
      </c>
      <c r="BJ64" t="s">
        <v>3</v>
      </c>
      <c r="BM64">
        <v>15001</v>
      </c>
      <c r="BN64">
        <v>0</v>
      </c>
      <c r="BO64" t="s">
        <v>3</v>
      </c>
      <c r="BP64">
        <v>0</v>
      </c>
      <c r="BQ64">
        <v>2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105</v>
      </c>
      <c r="CA64">
        <v>55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36"/>
        <v>24663.22</v>
      </c>
      <c r="CQ64">
        <f t="shared" si="37"/>
        <v>206.69470000000001</v>
      </c>
      <c r="CR64">
        <f t="shared" si="38"/>
        <v>0</v>
      </c>
      <c r="CS64">
        <f t="shared" si="39"/>
        <v>0</v>
      </c>
      <c r="CT64">
        <f t="shared" si="40"/>
        <v>0</v>
      </c>
      <c r="CU64">
        <f t="shared" si="41"/>
        <v>0</v>
      </c>
      <c r="CV64">
        <f t="shared" si="42"/>
        <v>0</v>
      </c>
      <c r="CW64">
        <f t="shared" si="43"/>
        <v>0</v>
      </c>
      <c r="CX64">
        <f t="shared" si="44"/>
        <v>0</v>
      </c>
      <c r="CY64">
        <f t="shared" si="45"/>
        <v>0</v>
      </c>
      <c r="CZ64">
        <f t="shared" si="46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1009</v>
      </c>
      <c r="DV64" t="s">
        <v>77</v>
      </c>
      <c r="DW64" t="s">
        <v>77</v>
      </c>
      <c r="DX64">
        <v>1</v>
      </c>
      <c r="EE64">
        <v>39174529</v>
      </c>
      <c r="EF64">
        <v>2</v>
      </c>
      <c r="EG64" t="s">
        <v>34</v>
      </c>
      <c r="EH64">
        <v>0</v>
      </c>
      <c r="EI64" t="s">
        <v>3</v>
      </c>
      <c r="EJ64">
        <v>1</v>
      </c>
      <c r="EK64">
        <v>15001</v>
      </c>
      <c r="EL64" t="s">
        <v>35</v>
      </c>
      <c r="EM64" t="s">
        <v>36</v>
      </c>
      <c r="EO64" t="s">
        <v>3</v>
      </c>
      <c r="EQ64">
        <v>0</v>
      </c>
      <c r="ER64">
        <v>206.69</v>
      </c>
      <c r="ES64">
        <v>31.27</v>
      </c>
      <c r="ET64">
        <v>0</v>
      </c>
      <c r="EU64">
        <v>0</v>
      </c>
      <c r="EV64">
        <v>0</v>
      </c>
      <c r="EW64">
        <v>0</v>
      </c>
      <c r="EX64">
        <v>0</v>
      </c>
      <c r="EZ64">
        <v>5</v>
      </c>
      <c r="FC64">
        <v>1</v>
      </c>
      <c r="FD64">
        <v>18</v>
      </c>
      <c r="FF64">
        <v>243.89</v>
      </c>
      <c r="FQ64">
        <v>0</v>
      </c>
      <c r="FR64">
        <f t="shared" si="47"/>
        <v>0</v>
      </c>
      <c r="FS64">
        <v>0</v>
      </c>
      <c r="FT64" t="s">
        <v>38</v>
      </c>
      <c r="FU64" t="s">
        <v>39</v>
      </c>
      <c r="FX64">
        <v>94.5</v>
      </c>
      <c r="FY64">
        <v>46.75</v>
      </c>
      <c r="GA64" t="s">
        <v>180</v>
      </c>
      <c r="GD64">
        <v>0</v>
      </c>
      <c r="GF64">
        <v>387039150</v>
      </c>
      <c r="GG64">
        <v>1</v>
      </c>
      <c r="GH64">
        <v>3</v>
      </c>
      <c r="GI64">
        <v>4</v>
      </c>
      <c r="GJ64">
        <v>0</v>
      </c>
      <c r="GK64">
        <f>ROUND(R64*(R12)/100,2)</f>
        <v>0</v>
      </c>
      <c r="GL64">
        <f t="shared" si="48"/>
        <v>0</v>
      </c>
      <c r="GM64">
        <f t="shared" si="49"/>
        <v>24663.22</v>
      </c>
      <c r="GN64">
        <f t="shared" si="50"/>
        <v>24663.22</v>
      </c>
      <c r="GO64">
        <f t="shared" si="51"/>
        <v>0</v>
      </c>
      <c r="GP64">
        <f t="shared" si="52"/>
        <v>0</v>
      </c>
      <c r="GR64">
        <v>1</v>
      </c>
      <c r="GS64">
        <v>1</v>
      </c>
      <c r="GT64">
        <v>0</v>
      </c>
      <c r="GU64" t="s">
        <v>3</v>
      </c>
      <c r="GV64">
        <f t="shared" si="53"/>
        <v>0</v>
      </c>
      <c r="GW64">
        <v>1</v>
      </c>
      <c r="GX64">
        <f t="shared" si="54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96</v>
      </c>
      <c r="E65" t="s">
        <v>181</v>
      </c>
      <c r="F65" t="s">
        <v>182</v>
      </c>
      <c r="G65" t="s">
        <v>183</v>
      </c>
      <c r="H65" t="s">
        <v>72</v>
      </c>
      <c r="I65">
        <f>I63*J65</f>
        <v>0.119322</v>
      </c>
      <c r="J65">
        <v>6.3E-2</v>
      </c>
      <c r="O65">
        <f t="shared" si="21"/>
        <v>0</v>
      </c>
      <c r="P65">
        <f t="shared" si="22"/>
        <v>0</v>
      </c>
      <c r="Q65">
        <f t="shared" si="23"/>
        <v>0</v>
      </c>
      <c r="R65">
        <f t="shared" si="24"/>
        <v>0</v>
      </c>
      <c r="S65">
        <f t="shared" si="25"/>
        <v>0</v>
      </c>
      <c r="T65">
        <f t="shared" si="26"/>
        <v>0</v>
      </c>
      <c r="U65">
        <f t="shared" si="27"/>
        <v>0</v>
      </c>
      <c r="V65">
        <f t="shared" si="28"/>
        <v>0</v>
      </c>
      <c r="W65">
        <f t="shared" si="29"/>
        <v>0</v>
      </c>
      <c r="X65">
        <f t="shared" si="30"/>
        <v>0</v>
      </c>
      <c r="Y65">
        <f t="shared" si="31"/>
        <v>0</v>
      </c>
      <c r="AA65">
        <v>39616881</v>
      </c>
      <c r="AB65">
        <f t="shared" si="32"/>
        <v>0</v>
      </c>
      <c r="AC65">
        <f t="shared" si="33"/>
        <v>0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34"/>
        <v>0</v>
      </c>
      <c r="AH65">
        <f>(EW65)</f>
        <v>0</v>
      </c>
      <c r="AI65">
        <f>(EX65)</f>
        <v>0</v>
      </c>
      <c r="AJ65">
        <f t="shared" si="35"/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6.61</v>
      </c>
      <c r="BA65">
        <v>1</v>
      </c>
      <c r="BB65">
        <v>1</v>
      </c>
      <c r="BC65">
        <v>6.61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3</v>
      </c>
      <c r="BM65">
        <v>15001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105</v>
      </c>
      <c r="CA65">
        <v>55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36"/>
        <v>0</v>
      </c>
      <c r="CQ65">
        <f t="shared" si="37"/>
        <v>0</v>
      </c>
      <c r="CR65">
        <f t="shared" si="38"/>
        <v>0</v>
      </c>
      <c r="CS65">
        <f t="shared" si="39"/>
        <v>0</v>
      </c>
      <c r="CT65">
        <f t="shared" si="40"/>
        <v>0</v>
      </c>
      <c r="CU65">
        <f t="shared" si="41"/>
        <v>0</v>
      </c>
      <c r="CV65">
        <f t="shared" si="42"/>
        <v>0</v>
      </c>
      <c r="CW65">
        <f t="shared" si="43"/>
        <v>0</v>
      </c>
      <c r="CX65">
        <f t="shared" si="44"/>
        <v>0</v>
      </c>
      <c r="CY65">
        <f t="shared" si="45"/>
        <v>0</v>
      </c>
      <c r="CZ65">
        <f t="shared" si="46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72</v>
      </c>
      <c r="DW65" t="s">
        <v>72</v>
      </c>
      <c r="DX65">
        <v>1000</v>
      </c>
      <c r="EE65">
        <v>39174529</v>
      </c>
      <c r="EF65">
        <v>2</v>
      </c>
      <c r="EG65" t="s">
        <v>34</v>
      </c>
      <c r="EH65">
        <v>0</v>
      </c>
      <c r="EI65" t="s">
        <v>3</v>
      </c>
      <c r="EJ65">
        <v>1</v>
      </c>
      <c r="EK65">
        <v>15001</v>
      </c>
      <c r="EL65" t="s">
        <v>35</v>
      </c>
      <c r="EM65" t="s">
        <v>36</v>
      </c>
      <c r="EO65" t="s">
        <v>3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47"/>
        <v>0</v>
      </c>
      <c r="FS65">
        <v>0</v>
      </c>
      <c r="FT65" t="s">
        <v>38</v>
      </c>
      <c r="FU65" t="s">
        <v>39</v>
      </c>
      <c r="FX65">
        <v>94.5</v>
      </c>
      <c r="FY65">
        <v>46.75</v>
      </c>
      <c r="GA65" t="s">
        <v>3</v>
      </c>
      <c r="GD65">
        <v>0</v>
      </c>
      <c r="GF65">
        <v>1891904026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48"/>
        <v>0</v>
      </c>
      <c r="GM65">
        <f t="shared" si="49"/>
        <v>0</v>
      </c>
      <c r="GN65">
        <f t="shared" si="50"/>
        <v>0</v>
      </c>
      <c r="GO65">
        <f t="shared" si="51"/>
        <v>0</v>
      </c>
      <c r="GP65">
        <f t="shared" si="52"/>
        <v>0</v>
      </c>
      <c r="GR65">
        <v>0</v>
      </c>
      <c r="GS65">
        <v>3</v>
      </c>
      <c r="GT65">
        <v>0</v>
      </c>
      <c r="GU65" t="s">
        <v>3</v>
      </c>
      <c r="GV65">
        <f t="shared" si="53"/>
        <v>0</v>
      </c>
      <c r="GW65">
        <v>1</v>
      </c>
      <c r="GX65">
        <f t="shared" si="54"/>
        <v>0</v>
      </c>
      <c r="HA65">
        <v>0</v>
      </c>
      <c r="HB65">
        <v>0</v>
      </c>
      <c r="IK65">
        <v>0</v>
      </c>
    </row>
    <row r="66" spans="1:245" x14ac:dyDescent="0.2">
      <c r="A66">
        <v>17</v>
      </c>
      <c r="B66">
        <v>1</v>
      </c>
      <c r="C66">
        <f>ROW(SmtRes!A101)</f>
        <v>101</v>
      </c>
      <c r="D66">
        <f>ROW(EtalonRes!A96)</f>
        <v>96</v>
      </c>
      <c r="E66" t="s">
        <v>184</v>
      </c>
      <c r="F66" t="s">
        <v>185</v>
      </c>
      <c r="G66" t="s">
        <v>186</v>
      </c>
      <c r="H66" t="s">
        <v>25</v>
      </c>
      <c r="I66">
        <f>ROUND(189.4/100,9)</f>
        <v>1.8939999999999999</v>
      </c>
      <c r="J66">
        <v>0</v>
      </c>
      <c r="O66">
        <f t="shared" si="21"/>
        <v>1160.67</v>
      </c>
      <c r="P66">
        <f t="shared" si="22"/>
        <v>0</v>
      </c>
      <c r="Q66">
        <f t="shared" si="23"/>
        <v>0</v>
      </c>
      <c r="R66">
        <f t="shared" si="24"/>
        <v>0</v>
      </c>
      <c r="S66">
        <f t="shared" si="25"/>
        <v>1160.67</v>
      </c>
      <c r="T66">
        <f t="shared" si="26"/>
        <v>0</v>
      </c>
      <c r="U66">
        <f t="shared" si="27"/>
        <v>18.252478</v>
      </c>
      <c r="V66">
        <f t="shared" si="28"/>
        <v>0</v>
      </c>
      <c r="W66">
        <f t="shared" si="29"/>
        <v>0</v>
      </c>
      <c r="X66">
        <f t="shared" si="30"/>
        <v>1102.6400000000001</v>
      </c>
      <c r="Y66">
        <f t="shared" si="31"/>
        <v>545.51</v>
      </c>
      <c r="AA66">
        <v>39616881</v>
      </c>
      <c r="AB66">
        <f t="shared" si="32"/>
        <v>92.71</v>
      </c>
      <c r="AC66">
        <f t="shared" si="33"/>
        <v>0</v>
      </c>
      <c r="AD66">
        <f>ROUND(((((ET66*1.25))-((EU66*1.25)))+AE66),2)</f>
        <v>0</v>
      </c>
      <c r="AE66">
        <f>ROUND(((EU66*1.25)),2)</f>
        <v>0</v>
      </c>
      <c r="AF66">
        <f>ROUND(((EV66*1.15)),2)</f>
        <v>92.71</v>
      </c>
      <c r="AG66">
        <f t="shared" si="34"/>
        <v>0</v>
      </c>
      <c r="AH66">
        <f>((EW66*1.15))</f>
        <v>9.6370000000000005</v>
      </c>
      <c r="AI66">
        <f>((EX66*1.25))</f>
        <v>0</v>
      </c>
      <c r="AJ66">
        <f t="shared" si="35"/>
        <v>0</v>
      </c>
      <c r="AK66">
        <v>80.62</v>
      </c>
      <c r="AL66">
        <v>0</v>
      </c>
      <c r="AM66">
        <v>0</v>
      </c>
      <c r="AN66">
        <v>0</v>
      </c>
      <c r="AO66">
        <v>80.62</v>
      </c>
      <c r="AP66">
        <v>0</v>
      </c>
      <c r="AQ66">
        <v>8.3800000000000008</v>
      </c>
      <c r="AR66">
        <v>0</v>
      </c>
      <c r="AS66">
        <v>0</v>
      </c>
      <c r="AT66">
        <v>95</v>
      </c>
      <c r="AU66">
        <v>47</v>
      </c>
      <c r="AV66">
        <v>1</v>
      </c>
      <c r="AW66">
        <v>1</v>
      </c>
      <c r="AZ66">
        <v>6.61</v>
      </c>
      <c r="BA66">
        <v>6.61</v>
      </c>
      <c r="BB66">
        <v>6.61</v>
      </c>
      <c r="BC66">
        <v>6.61</v>
      </c>
      <c r="BD66" t="s">
        <v>3</v>
      </c>
      <c r="BE66" t="s">
        <v>3</v>
      </c>
      <c r="BF66" t="s">
        <v>3</v>
      </c>
      <c r="BG66" t="s">
        <v>3</v>
      </c>
      <c r="BH66">
        <v>0</v>
      </c>
      <c r="BI66">
        <v>1</v>
      </c>
      <c r="BJ66" t="s">
        <v>187</v>
      </c>
      <c r="BM66">
        <v>15001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6.61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105</v>
      </c>
      <c r="CA66">
        <v>55</v>
      </c>
      <c r="CF66">
        <v>0</v>
      </c>
      <c r="CG66">
        <v>0</v>
      </c>
      <c r="CM66">
        <v>0</v>
      </c>
      <c r="CN66" t="s">
        <v>31</v>
      </c>
      <c r="CO66">
        <v>0</v>
      </c>
      <c r="CP66">
        <f t="shared" si="36"/>
        <v>1160.67</v>
      </c>
      <c r="CQ66">
        <f t="shared" si="37"/>
        <v>0</v>
      </c>
      <c r="CR66">
        <f t="shared" si="38"/>
        <v>0</v>
      </c>
      <c r="CS66">
        <f t="shared" si="39"/>
        <v>0</v>
      </c>
      <c r="CT66">
        <f t="shared" si="40"/>
        <v>612.81309999999996</v>
      </c>
      <c r="CU66">
        <f t="shared" si="41"/>
        <v>0</v>
      </c>
      <c r="CV66">
        <f t="shared" si="42"/>
        <v>9.6370000000000005</v>
      </c>
      <c r="CW66">
        <f t="shared" si="43"/>
        <v>0</v>
      </c>
      <c r="CX66">
        <f t="shared" si="44"/>
        <v>0</v>
      </c>
      <c r="CY66">
        <f t="shared" si="45"/>
        <v>1102.6365000000001</v>
      </c>
      <c r="CZ66">
        <f t="shared" si="46"/>
        <v>545.51490000000001</v>
      </c>
      <c r="DC66" t="s">
        <v>3</v>
      </c>
      <c r="DD66" t="s">
        <v>3</v>
      </c>
      <c r="DE66" t="s">
        <v>32</v>
      </c>
      <c r="DF66" t="s">
        <v>32</v>
      </c>
      <c r="DG66" t="s">
        <v>33</v>
      </c>
      <c r="DH66" t="s">
        <v>3</v>
      </c>
      <c r="DI66" t="s">
        <v>33</v>
      </c>
      <c r="DJ66" t="s">
        <v>32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1005</v>
      </c>
      <c r="DV66" t="s">
        <v>25</v>
      </c>
      <c r="DW66" t="s">
        <v>25</v>
      </c>
      <c r="DX66">
        <v>100</v>
      </c>
      <c r="EE66">
        <v>39174529</v>
      </c>
      <c r="EF66">
        <v>2</v>
      </c>
      <c r="EG66" t="s">
        <v>34</v>
      </c>
      <c r="EH66">
        <v>0</v>
      </c>
      <c r="EI66" t="s">
        <v>3</v>
      </c>
      <c r="EJ66">
        <v>1</v>
      </c>
      <c r="EK66">
        <v>15001</v>
      </c>
      <c r="EL66" t="s">
        <v>35</v>
      </c>
      <c r="EM66" t="s">
        <v>36</v>
      </c>
      <c r="EO66" t="s">
        <v>37</v>
      </c>
      <c r="EQ66">
        <v>0</v>
      </c>
      <c r="ER66">
        <v>80.62</v>
      </c>
      <c r="ES66">
        <v>0</v>
      </c>
      <c r="ET66">
        <v>0</v>
      </c>
      <c r="EU66">
        <v>0</v>
      </c>
      <c r="EV66">
        <v>80.62</v>
      </c>
      <c r="EW66">
        <v>8.3800000000000008</v>
      </c>
      <c r="EX66">
        <v>0</v>
      </c>
      <c r="EY66">
        <v>0</v>
      </c>
      <c r="FQ66">
        <v>0</v>
      </c>
      <c r="FR66">
        <f t="shared" si="47"/>
        <v>0</v>
      </c>
      <c r="FS66">
        <v>0</v>
      </c>
      <c r="FT66" t="s">
        <v>38</v>
      </c>
      <c r="FU66" t="s">
        <v>39</v>
      </c>
      <c r="FX66">
        <v>94.5</v>
      </c>
      <c r="FY66">
        <v>46.75</v>
      </c>
      <c r="GA66" t="s">
        <v>3</v>
      </c>
      <c r="GD66">
        <v>0</v>
      </c>
      <c r="GF66">
        <v>-1713052478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48"/>
        <v>0</v>
      </c>
      <c r="GM66">
        <f t="shared" si="49"/>
        <v>2808.82</v>
      </c>
      <c r="GN66">
        <f t="shared" si="50"/>
        <v>2808.82</v>
      </c>
      <c r="GO66">
        <f t="shared" si="51"/>
        <v>0</v>
      </c>
      <c r="GP66">
        <f t="shared" si="52"/>
        <v>0</v>
      </c>
      <c r="GR66">
        <v>0</v>
      </c>
      <c r="GS66">
        <v>3</v>
      </c>
      <c r="GT66">
        <v>0</v>
      </c>
      <c r="GU66" t="s">
        <v>3</v>
      </c>
      <c r="GV66">
        <f t="shared" si="53"/>
        <v>0</v>
      </c>
      <c r="GW66">
        <v>1</v>
      </c>
      <c r="GX66">
        <f t="shared" si="54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101</v>
      </c>
      <c r="E67" t="s">
        <v>188</v>
      </c>
      <c r="F67" t="s">
        <v>178</v>
      </c>
      <c r="G67" t="s">
        <v>179</v>
      </c>
      <c r="H67" t="s">
        <v>77</v>
      </c>
      <c r="I67">
        <f>I66*J67</f>
        <v>30.303999999999998</v>
      </c>
      <c r="J67">
        <v>16</v>
      </c>
      <c r="O67">
        <f t="shared" si="21"/>
        <v>6263.68</v>
      </c>
      <c r="P67">
        <f t="shared" si="22"/>
        <v>6263.68</v>
      </c>
      <c r="Q67">
        <f t="shared" si="23"/>
        <v>0</v>
      </c>
      <c r="R67">
        <f t="shared" si="24"/>
        <v>0</v>
      </c>
      <c r="S67">
        <f t="shared" si="25"/>
        <v>0</v>
      </c>
      <c r="T67">
        <f t="shared" si="26"/>
        <v>0</v>
      </c>
      <c r="U67">
        <f t="shared" si="27"/>
        <v>0</v>
      </c>
      <c r="V67">
        <f t="shared" si="28"/>
        <v>0</v>
      </c>
      <c r="W67">
        <f t="shared" si="29"/>
        <v>0</v>
      </c>
      <c r="X67">
        <f t="shared" si="30"/>
        <v>0</v>
      </c>
      <c r="Y67">
        <f t="shared" si="31"/>
        <v>0</v>
      </c>
      <c r="AA67">
        <v>39616881</v>
      </c>
      <c r="AB67">
        <f t="shared" si="32"/>
        <v>31.27</v>
      </c>
      <c r="AC67">
        <f t="shared" si="33"/>
        <v>31.27</v>
      </c>
      <c r="AD67">
        <f>ROUND((((ET67)-(EU67))+AE67),2)</f>
        <v>0</v>
      </c>
      <c r="AE67">
        <f t="shared" ref="AE67:AF70" si="67">ROUND((EU67),2)</f>
        <v>0</v>
      </c>
      <c r="AF67">
        <f t="shared" si="67"/>
        <v>0</v>
      </c>
      <c r="AG67">
        <f t="shared" si="34"/>
        <v>0</v>
      </c>
      <c r="AH67">
        <f t="shared" ref="AH67:AI70" si="68">(EW67)</f>
        <v>0</v>
      </c>
      <c r="AI67">
        <f t="shared" si="68"/>
        <v>0</v>
      </c>
      <c r="AJ67">
        <f t="shared" si="35"/>
        <v>0</v>
      </c>
      <c r="AK67">
        <v>31.27</v>
      </c>
      <c r="AL67">
        <v>31.27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6.61</v>
      </c>
      <c r="BA67">
        <v>1</v>
      </c>
      <c r="BB67">
        <v>1</v>
      </c>
      <c r="BC67">
        <v>6.61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3</v>
      </c>
      <c r="BM67">
        <v>15001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36"/>
        <v>6263.68</v>
      </c>
      <c r="CQ67">
        <f t="shared" si="37"/>
        <v>206.69470000000001</v>
      </c>
      <c r="CR67">
        <f t="shared" si="38"/>
        <v>0</v>
      </c>
      <c r="CS67">
        <f t="shared" si="39"/>
        <v>0</v>
      </c>
      <c r="CT67">
        <f t="shared" si="40"/>
        <v>0</v>
      </c>
      <c r="CU67">
        <f t="shared" si="41"/>
        <v>0</v>
      </c>
      <c r="CV67">
        <f t="shared" si="42"/>
        <v>0</v>
      </c>
      <c r="CW67">
        <f t="shared" si="43"/>
        <v>0</v>
      </c>
      <c r="CX67">
        <f t="shared" si="44"/>
        <v>0</v>
      </c>
      <c r="CY67">
        <f t="shared" si="45"/>
        <v>0</v>
      </c>
      <c r="CZ67">
        <f t="shared" si="46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77</v>
      </c>
      <c r="DW67" t="s">
        <v>77</v>
      </c>
      <c r="DX67">
        <v>1</v>
      </c>
      <c r="EE67">
        <v>39174529</v>
      </c>
      <c r="EF67">
        <v>2</v>
      </c>
      <c r="EG67" t="s">
        <v>34</v>
      </c>
      <c r="EH67">
        <v>0</v>
      </c>
      <c r="EI67" t="s">
        <v>3</v>
      </c>
      <c r="EJ67">
        <v>1</v>
      </c>
      <c r="EK67">
        <v>15001</v>
      </c>
      <c r="EL67" t="s">
        <v>35</v>
      </c>
      <c r="EM67" t="s">
        <v>36</v>
      </c>
      <c r="EO67" t="s">
        <v>3</v>
      </c>
      <c r="EQ67">
        <v>0</v>
      </c>
      <c r="ER67">
        <v>206.69</v>
      </c>
      <c r="ES67">
        <v>31.27</v>
      </c>
      <c r="ET67">
        <v>0</v>
      </c>
      <c r="EU67">
        <v>0</v>
      </c>
      <c r="EV67">
        <v>0</v>
      </c>
      <c r="EW67">
        <v>0</v>
      </c>
      <c r="EX67">
        <v>0</v>
      </c>
      <c r="EZ67">
        <v>5</v>
      </c>
      <c r="FC67">
        <v>1</v>
      </c>
      <c r="FD67">
        <v>18</v>
      </c>
      <c r="FF67">
        <v>243.89</v>
      </c>
      <c r="FQ67">
        <v>0</v>
      </c>
      <c r="FR67">
        <f t="shared" si="47"/>
        <v>0</v>
      </c>
      <c r="FS67">
        <v>0</v>
      </c>
      <c r="FT67" t="s">
        <v>38</v>
      </c>
      <c r="FU67" t="s">
        <v>39</v>
      </c>
      <c r="FX67">
        <v>94.5</v>
      </c>
      <c r="FY67">
        <v>46.75</v>
      </c>
      <c r="GA67" t="s">
        <v>180</v>
      </c>
      <c r="GD67">
        <v>0</v>
      </c>
      <c r="GF67">
        <v>387039150</v>
      </c>
      <c r="GG67">
        <v>1</v>
      </c>
      <c r="GH67">
        <v>3</v>
      </c>
      <c r="GI67">
        <v>4</v>
      </c>
      <c r="GJ67">
        <v>0</v>
      </c>
      <c r="GK67">
        <f>ROUND(R67*(R12)/100,2)</f>
        <v>0</v>
      </c>
      <c r="GL67">
        <f t="shared" si="48"/>
        <v>0</v>
      </c>
      <c r="GM67">
        <f t="shared" si="49"/>
        <v>6263.68</v>
      </c>
      <c r="GN67">
        <f t="shared" si="50"/>
        <v>6263.68</v>
      </c>
      <c r="GO67">
        <f t="shared" si="51"/>
        <v>0</v>
      </c>
      <c r="GP67">
        <f t="shared" si="52"/>
        <v>0</v>
      </c>
      <c r="GR67">
        <v>1</v>
      </c>
      <c r="GS67">
        <v>1</v>
      </c>
      <c r="GT67">
        <v>0</v>
      </c>
      <c r="GU67" t="s">
        <v>3</v>
      </c>
      <c r="GV67">
        <f t="shared" si="53"/>
        <v>0</v>
      </c>
      <c r="GW67">
        <v>1</v>
      </c>
      <c r="GX67">
        <f t="shared" si="54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100</v>
      </c>
      <c r="E68" t="s">
        <v>189</v>
      </c>
      <c r="F68" t="s">
        <v>190</v>
      </c>
      <c r="G68" t="s">
        <v>191</v>
      </c>
      <c r="H68" t="s">
        <v>72</v>
      </c>
      <c r="I68">
        <f>I66*J68</f>
        <v>3.0303999999999998E-2</v>
      </c>
      <c r="J68">
        <v>1.6E-2</v>
      </c>
      <c r="O68">
        <f t="shared" si="21"/>
        <v>0</v>
      </c>
      <c r="P68">
        <f t="shared" si="22"/>
        <v>0</v>
      </c>
      <c r="Q68">
        <f t="shared" si="23"/>
        <v>0</v>
      </c>
      <c r="R68">
        <f t="shared" si="24"/>
        <v>0</v>
      </c>
      <c r="S68">
        <f t="shared" si="25"/>
        <v>0</v>
      </c>
      <c r="T68">
        <f t="shared" si="26"/>
        <v>0</v>
      </c>
      <c r="U68">
        <f t="shared" si="27"/>
        <v>0</v>
      </c>
      <c r="V68">
        <f t="shared" si="28"/>
        <v>0</v>
      </c>
      <c r="W68">
        <f t="shared" si="29"/>
        <v>0</v>
      </c>
      <c r="X68">
        <f t="shared" si="30"/>
        <v>0</v>
      </c>
      <c r="Y68">
        <f t="shared" si="31"/>
        <v>0</v>
      </c>
      <c r="AA68">
        <v>39616881</v>
      </c>
      <c r="AB68">
        <f t="shared" si="32"/>
        <v>0</v>
      </c>
      <c r="AC68">
        <f t="shared" si="33"/>
        <v>0</v>
      </c>
      <c r="AD68">
        <f>ROUND((((ET68)-(EU68))+AE68),2)</f>
        <v>0</v>
      </c>
      <c r="AE68">
        <f t="shared" si="67"/>
        <v>0</v>
      </c>
      <c r="AF68">
        <f t="shared" si="67"/>
        <v>0</v>
      </c>
      <c r="AG68">
        <f t="shared" si="34"/>
        <v>0</v>
      </c>
      <c r="AH68">
        <f t="shared" si="68"/>
        <v>0</v>
      </c>
      <c r="AI68">
        <f t="shared" si="68"/>
        <v>0</v>
      </c>
      <c r="AJ68">
        <f t="shared" si="35"/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95</v>
      </c>
      <c r="AU68">
        <v>47</v>
      </c>
      <c r="AV68">
        <v>1</v>
      </c>
      <c r="AW68">
        <v>1</v>
      </c>
      <c r="AZ68">
        <v>6.61</v>
      </c>
      <c r="BA68">
        <v>1</v>
      </c>
      <c r="BB68">
        <v>1</v>
      </c>
      <c r="BC68">
        <v>6.61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3</v>
      </c>
      <c r="BM68">
        <v>15001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105</v>
      </c>
      <c r="CA68">
        <v>55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36"/>
        <v>0</v>
      </c>
      <c r="CQ68">
        <f t="shared" si="37"/>
        <v>0</v>
      </c>
      <c r="CR68">
        <f t="shared" si="38"/>
        <v>0</v>
      </c>
      <c r="CS68">
        <f t="shared" si="39"/>
        <v>0</v>
      </c>
      <c r="CT68">
        <f t="shared" si="40"/>
        <v>0</v>
      </c>
      <c r="CU68">
        <f t="shared" si="41"/>
        <v>0</v>
      </c>
      <c r="CV68">
        <f t="shared" si="42"/>
        <v>0</v>
      </c>
      <c r="CW68">
        <f t="shared" si="43"/>
        <v>0</v>
      </c>
      <c r="CX68">
        <f t="shared" si="44"/>
        <v>0</v>
      </c>
      <c r="CY68">
        <f t="shared" si="45"/>
        <v>0</v>
      </c>
      <c r="CZ68">
        <f t="shared" si="46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1009</v>
      </c>
      <c r="DV68" t="s">
        <v>72</v>
      </c>
      <c r="DW68" t="s">
        <v>72</v>
      </c>
      <c r="DX68">
        <v>1000</v>
      </c>
      <c r="EE68">
        <v>39174529</v>
      </c>
      <c r="EF68">
        <v>2</v>
      </c>
      <c r="EG68" t="s">
        <v>34</v>
      </c>
      <c r="EH68">
        <v>0</v>
      </c>
      <c r="EI68" t="s">
        <v>3</v>
      </c>
      <c r="EJ68">
        <v>1</v>
      </c>
      <c r="EK68">
        <v>15001</v>
      </c>
      <c r="EL68" t="s">
        <v>35</v>
      </c>
      <c r="EM68" t="s">
        <v>36</v>
      </c>
      <c r="EO68" t="s">
        <v>3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47"/>
        <v>0</v>
      </c>
      <c r="FS68">
        <v>0</v>
      </c>
      <c r="FT68" t="s">
        <v>38</v>
      </c>
      <c r="FU68" t="s">
        <v>39</v>
      </c>
      <c r="FX68">
        <v>94.5</v>
      </c>
      <c r="FY68">
        <v>46.75</v>
      </c>
      <c r="GA68" t="s">
        <v>3</v>
      </c>
      <c r="GD68">
        <v>0</v>
      </c>
      <c r="GF68">
        <v>973262446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48"/>
        <v>0</v>
      </c>
      <c r="GM68">
        <f t="shared" si="49"/>
        <v>0</v>
      </c>
      <c r="GN68">
        <f t="shared" si="50"/>
        <v>0</v>
      </c>
      <c r="GO68">
        <f t="shared" si="51"/>
        <v>0</v>
      </c>
      <c r="GP68">
        <f t="shared" si="52"/>
        <v>0</v>
      </c>
      <c r="GR68">
        <v>0</v>
      </c>
      <c r="GS68">
        <v>3</v>
      </c>
      <c r="GT68">
        <v>0</v>
      </c>
      <c r="GU68" t="s">
        <v>3</v>
      </c>
      <c r="GV68">
        <f t="shared" si="53"/>
        <v>0</v>
      </c>
      <c r="GW68">
        <v>1</v>
      </c>
      <c r="GX68">
        <f t="shared" si="54"/>
        <v>0</v>
      </c>
      <c r="HA68">
        <v>0</v>
      </c>
      <c r="HB68">
        <v>0</v>
      </c>
      <c r="IK68">
        <v>0</v>
      </c>
    </row>
    <row r="69" spans="1:245" x14ac:dyDescent="0.2">
      <c r="A69">
        <v>17</v>
      </c>
      <c r="B69">
        <v>1</v>
      </c>
      <c r="C69">
        <f>ROW(SmtRes!A107)</f>
        <v>107</v>
      </c>
      <c r="D69">
        <f>ROW(EtalonRes!A102)</f>
        <v>102</v>
      </c>
      <c r="E69" t="s">
        <v>192</v>
      </c>
      <c r="F69" t="s">
        <v>193</v>
      </c>
      <c r="G69" t="s">
        <v>194</v>
      </c>
      <c r="H69" t="s">
        <v>25</v>
      </c>
      <c r="I69">
        <f>ROUND(18/100,9)</f>
        <v>0.18</v>
      </c>
      <c r="J69">
        <v>0</v>
      </c>
      <c r="O69">
        <f t="shared" si="21"/>
        <v>958.32</v>
      </c>
      <c r="P69">
        <f t="shared" si="22"/>
        <v>181.72</v>
      </c>
      <c r="Q69">
        <f t="shared" si="23"/>
        <v>0.79</v>
      </c>
      <c r="R69">
        <f t="shared" si="24"/>
        <v>0.14000000000000001</v>
      </c>
      <c r="S69">
        <f t="shared" si="25"/>
        <v>775.81</v>
      </c>
      <c r="T69">
        <f t="shared" si="26"/>
        <v>0</v>
      </c>
      <c r="U69">
        <f t="shared" si="27"/>
        <v>14.507999999999999</v>
      </c>
      <c r="V69">
        <f t="shared" si="28"/>
        <v>1.8E-3</v>
      </c>
      <c r="W69">
        <f t="shared" si="29"/>
        <v>0</v>
      </c>
      <c r="X69">
        <f t="shared" si="30"/>
        <v>620.76</v>
      </c>
      <c r="Y69">
        <f t="shared" si="31"/>
        <v>387.98</v>
      </c>
      <c r="AA69">
        <v>39616881</v>
      </c>
      <c r="AB69">
        <f t="shared" si="32"/>
        <v>805.44</v>
      </c>
      <c r="AC69">
        <f t="shared" si="33"/>
        <v>152.72999999999999</v>
      </c>
      <c r="AD69">
        <f>ROUND((((ET69)-(EU69))+AE69),2)</f>
        <v>0.66</v>
      </c>
      <c r="AE69">
        <f t="shared" si="67"/>
        <v>0.12</v>
      </c>
      <c r="AF69">
        <f t="shared" si="67"/>
        <v>652.04999999999995</v>
      </c>
      <c r="AG69">
        <f t="shared" si="34"/>
        <v>0</v>
      </c>
      <c r="AH69">
        <f t="shared" si="68"/>
        <v>80.599999999999994</v>
      </c>
      <c r="AI69">
        <f t="shared" si="68"/>
        <v>0.01</v>
      </c>
      <c r="AJ69">
        <f t="shared" si="35"/>
        <v>0</v>
      </c>
      <c r="AK69">
        <v>805.44</v>
      </c>
      <c r="AL69">
        <v>152.72999999999999</v>
      </c>
      <c r="AM69">
        <v>0.66</v>
      </c>
      <c r="AN69">
        <v>0.12</v>
      </c>
      <c r="AO69">
        <v>652.04999999999995</v>
      </c>
      <c r="AP69">
        <v>0</v>
      </c>
      <c r="AQ69">
        <v>80.599999999999994</v>
      </c>
      <c r="AR69">
        <v>0.01</v>
      </c>
      <c r="AS69">
        <v>0</v>
      </c>
      <c r="AT69">
        <v>80</v>
      </c>
      <c r="AU69">
        <v>50</v>
      </c>
      <c r="AV69">
        <v>1</v>
      </c>
      <c r="AW69">
        <v>1</v>
      </c>
      <c r="AZ69">
        <v>6.61</v>
      </c>
      <c r="BA69">
        <v>6.61</v>
      </c>
      <c r="BB69">
        <v>6.61</v>
      </c>
      <c r="BC69">
        <v>6.61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195</v>
      </c>
      <c r="BM69">
        <v>62001</v>
      </c>
      <c r="BN69">
        <v>0</v>
      </c>
      <c r="BO69" t="s">
        <v>3</v>
      </c>
      <c r="BP69">
        <v>0</v>
      </c>
      <c r="BQ69">
        <v>6</v>
      </c>
      <c r="BR69">
        <v>0</v>
      </c>
      <c r="BS69">
        <v>6.61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80</v>
      </c>
      <c r="CA69">
        <v>50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36"/>
        <v>958.31999999999994</v>
      </c>
      <c r="CQ69">
        <f t="shared" si="37"/>
        <v>1009.5453</v>
      </c>
      <c r="CR69">
        <f t="shared" si="38"/>
        <v>4.3626000000000005</v>
      </c>
      <c r="CS69">
        <f t="shared" si="39"/>
        <v>0.79320000000000002</v>
      </c>
      <c r="CT69">
        <f t="shared" si="40"/>
        <v>4310.0505000000003</v>
      </c>
      <c r="CU69">
        <f t="shared" si="41"/>
        <v>0</v>
      </c>
      <c r="CV69">
        <f t="shared" si="42"/>
        <v>80.599999999999994</v>
      </c>
      <c r="CW69">
        <f t="shared" si="43"/>
        <v>0.01</v>
      </c>
      <c r="CX69">
        <f t="shared" si="44"/>
        <v>0</v>
      </c>
      <c r="CY69">
        <f t="shared" si="45"/>
        <v>620.75999999999988</v>
      </c>
      <c r="CZ69">
        <f t="shared" si="46"/>
        <v>387.97500000000002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25</v>
      </c>
      <c r="DW69" t="s">
        <v>25</v>
      </c>
      <c r="DX69">
        <v>100</v>
      </c>
      <c r="EE69">
        <v>39174587</v>
      </c>
      <c r="EF69">
        <v>6</v>
      </c>
      <c r="EG69" t="s">
        <v>19</v>
      </c>
      <c r="EH69">
        <v>0</v>
      </c>
      <c r="EI69" t="s">
        <v>3</v>
      </c>
      <c r="EJ69">
        <v>1</v>
      </c>
      <c r="EK69">
        <v>62001</v>
      </c>
      <c r="EL69" t="s">
        <v>196</v>
      </c>
      <c r="EM69" t="s">
        <v>197</v>
      </c>
      <c r="EO69" t="s">
        <v>3</v>
      </c>
      <c r="EQ69">
        <v>0</v>
      </c>
      <c r="ER69">
        <v>805.44</v>
      </c>
      <c r="ES69">
        <v>152.72999999999999</v>
      </c>
      <c r="ET69">
        <v>0.66</v>
      </c>
      <c r="EU69">
        <v>0.12</v>
      </c>
      <c r="EV69">
        <v>652.04999999999995</v>
      </c>
      <c r="EW69">
        <v>80.599999999999994</v>
      </c>
      <c r="EX69">
        <v>0.01</v>
      </c>
      <c r="EY69">
        <v>0</v>
      </c>
      <c r="FQ69">
        <v>0</v>
      </c>
      <c r="FR69">
        <f t="shared" si="47"/>
        <v>0</v>
      </c>
      <c r="FS69">
        <v>0</v>
      </c>
      <c r="FX69">
        <v>80</v>
      </c>
      <c r="FY69">
        <v>50</v>
      </c>
      <c r="GA69" t="s">
        <v>3</v>
      </c>
      <c r="GD69">
        <v>0</v>
      </c>
      <c r="GF69">
        <v>-2121367713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48"/>
        <v>0</v>
      </c>
      <c r="GM69">
        <f t="shared" si="49"/>
        <v>1967.06</v>
      </c>
      <c r="GN69">
        <f t="shared" si="50"/>
        <v>1967.06</v>
      </c>
      <c r="GO69">
        <f t="shared" si="51"/>
        <v>0</v>
      </c>
      <c r="GP69">
        <f t="shared" si="52"/>
        <v>0</v>
      </c>
      <c r="GR69">
        <v>0</v>
      </c>
      <c r="GS69">
        <v>3</v>
      </c>
      <c r="GT69">
        <v>0</v>
      </c>
      <c r="GU69" t="s">
        <v>3</v>
      </c>
      <c r="GV69">
        <f t="shared" si="53"/>
        <v>0</v>
      </c>
      <c r="GW69">
        <v>1</v>
      </c>
      <c r="GX69">
        <f t="shared" si="54"/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106</v>
      </c>
      <c r="E70" t="s">
        <v>198</v>
      </c>
      <c r="F70" t="s">
        <v>199</v>
      </c>
      <c r="G70" t="s">
        <v>200</v>
      </c>
      <c r="H70" t="s">
        <v>72</v>
      </c>
      <c r="I70">
        <f>I69*J70</f>
        <v>2.898E-3</v>
      </c>
      <c r="J70">
        <v>1.61E-2</v>
      </c>
      <c r="O70">
        <f t="shared" si="21"/>
        <v>0</v>
      </c>
      <c r="P70">
        <f t="shared" si="22"/>
        <v>0</v>
      </c>
      <c r="Q70">
        <f t="shared" si="23"/>
        <v>0</v>
      </c>
      <c r="R70">
        <f t="shared" si="24"/>
        <v>0</v>
      </c>
      <c r="S70">
        <f t="shared" si="25"/>
        <v>0</v>
      </c>
      <c r="T70">
        <f t="shared" si="26"/>
        <v>0</v>
      </c>
      <c r="U70">
        <f t="shared" si="27"/>
        <v>0</v>
      </c>
      <c r="V70">
        <f t="shared" si="28"/>
        <v>0</v>
      </c>
      <c r="W70">
        <f t="shared" si="29"/>
        <v>0</v>
      </c>
      <c r="X70">
        <f t="shared" si="30"/>
        <v>0</v>
      </c>
      <c r="Y70">
        <f t="shared" si="31"/>
        <v>0</v>
      </c>
      <c r="AA70">
        <v>39616881</v>
      </c>
      <c r="AB70">
        <f t="shared" si="32"/>
        <v>0</v>
      </c>
      <c r="AC70">
        <f t="shared" si="33"/>
        <v>0</v>
      </c>
      <c r="AD70">
        <f>ROUND((((ET70)-(EU70))+AE70),2)</f>
        <v>0</v>
      </c>
      <c r="AE70">
        <f t="shared" si="67"/>
        <v>0</v>
      </c>
      <c r="AF70">
        <f t="shared" si="67"/>
        <v>0</v>
      </c>
      <c r="AG70">
        <f t="shared" si="34"/>
        <v>0</v>
      </c>
      <c r="AH70">
        <f t="shared" si="68"/>
        <v>0</v>
      </c>
      <c r="AI70">
        <f t="shared" si="68"/>
        <v>0</v>
      </c>
      <c r="AJ70">
        <f t="shared" si="35"/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80</v>
      </c>
      <c r="AU70">
        <v>50</v>
      </c>
      <c r="AV70">
        <v>1</v>
      </c>
      <c r="AW70">
        <v>1</v>
      </c>
      <c r="AZ70">
        <v>6.61</v>
      </c>
      <c r="BA70">
        <v>1</v>
      </c>
      <c r="BB70">
        <v>1</v>
      </c>
      <c r="BC70">
        <v>6.61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1</v>
      </c>
      <c r="BJ70" t="s">
        <v>3</v>
      </c>
      <c r="BM70">
        <v>62001</v>
      </c>
      <c r="BN70">
        <v>0</v>
      </c>
      <c r="BO70" t="s">
        <v>3</v>
      </c>
      <c r="BP70">
        <v>0</v>
      </c>
      <c r="BQ70">
        <v>6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80</v>
      </c>
      <c r="CA70">
        <v>50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36"/>
        <v>0</v>
      </c>
      <c r="CQ70">
        <f t="shared" si="37"/>
        <v>0</v>
      </c>
      <c r="CR70">
        <f t="shared" si="38"/>
        <v>0</v>
      </c>
      <c r="CS70">
        <f t="shared" si="39"/>
        <v>0</v>
      </c>
      <c r="CT70">
        <f t="shared" si="40"/>
        <v>0</v>
      </c>
      <c r="CU70">
        <f t="shared" si="41"/>
        <v>0</v>
      </c>
      <c r="CV70">
        <f t="shared" si="42"/>
        <v>0</v>
      </c>
      <c r="CW70">
        <f t="shared" si="43"/>
        <v>0</v>
      </c>
      <c r="CX70">
        <f t="shared" si="44"/>
        <v>0</v>
      </c>
      <c r="CY70">
        <f t="shared" si="45"/>
        <v>0</v>
      </c>
      <c r="CZ70">
        <f t="shared" si="46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1009</v>
      </c>
      <c r="DV70" t="s">
        <v>72</v>
      </c>
      <c r="DW70" t="s">
        <v>72</v>
      </c>
      <c r="DX70">
        <v>1000</v>
      </c>
      <c r="EE70">
        <v>39174587</v>
      </c>
      <c r="EF70">
        <v>6</v>
      </c>
      <c r="EG70" t="s">
        <v>19</v>
      </c>
      <c r="EH70">
        <v>0</v>
      </c>
      <c r="EI70" t="s">
        <v>3</v>
      </c>
      <c r="EJ70">
        <v>1</v>
      </c>
      <c r="EK70">
        <v>62001</v>
      </c>
      <c r="EL70" t="s">
        <v>196</v>
      </c>
      <c r="EM70" t="s">
        <v>197</v>
      </c>
      <c r="EO70" t="s">
        <v>3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47"/>
        <v>0</v>
      </c>
      <c r="FS70">
        <v>0</v>
      </c>
      <c r="FX70">
        <v>80</v>
      </c>
      <c r="FY70">
        <v>50</v>
      </c>
      <c r="GA70" t="s">
        <v>3</v>
      </c>
      <c r="GD70">
        <v>0</v>
      </c>
      <c r="GF70">
        <v>84301199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48"/>
        <v>0</v>
      </c>
      <c r="GM70">
        <f t="shared" si="49"/>
        <v>0</v>
      </c>
      <c r="GN70">
        <f t="shared" si="50"/>
        <v>0</v>
      </c>
      <c r="GO70">
        <f t="shared" si="51"/>
        <v>0</v>
      </c>
      <c r="GP70">
        <f t="shared" si="52"/>
        <v>0</v>
      </c>
      <c r="GR70">
        <v>0</v>
      </c>
      <c r="GS70">
        <v>3</v>
      </c>
      <c r="GT70">
        <v>0</v>
      </c>
      <c r="GU70" t="s">
        <v>3</v>
      </c>
      <c r="GV70">
        <f t="shared" si="53"/>
        <v>0</v>
      </c>
      <c r="GW70">
        <v>1</v>
      </c>
      <c r="GX70">
        <f t="shared" si="54"/>
        <v>0</v>
      </c>
      <c r="HA70">
        <v>0</v>
      </c>
      <c r="HB70">
        <v>0</v>
      </c>
      <c r="IK70">
        <v>0</v>
      </c>
    </row>
    <row r="72" spans="1:245" x14ac:dyDescent="0.2">
      <c r="A72" s="2">
        <v>51</v>
      </c>
      <c r="B72" s="2">
        <f>B24</f>
        <v>1</v>
      </c>
      <c r="C72" s="2">
        <f>A24</f>
        <v>4</v>
      </c>
      <c r="D72" s="2">
        <f>ROW(A24)</f>
        <v>24</v>
      </c>
      <c r="E72" s="2"/>
      <c r="F72" s="2" t="str">
        <f>IF(F24&lt;&gt;"",F24,"")</f>
        <v>Новый раздел</v>
      </c>
      <c r="G72" s="2" t="str">
        <f>IF(G24&lt;&gt;"",G24,"")</f>
        <v>1 Общестроительные работы</v>
      </c>
      <c r="H72" s="2">
        <v>0</v>
      </c>
      <c r="I72" s="2"/>
      <c r="J72" s="2"/>
      <c r="K72" s="2"/>
      <c r="L72" s="2"/>
      <c r="M72" s="2"/>
      <c r="N72" s="2"/>
      <c r="O72" s="2">
        <f t="shared" ref="O72:T72" si="69">ROUND(AB72,2)</f>
        <v>346423.88</v>
      </c>
      <c r="P72" s="2">
        <f t="shared" si="69"/>
        <v>310159.78999999998</v>
      </c>
      <c r="Q72" s="2">
        <f t="shared" si="69"/>
        <v>4254.72</v>
      </c>
      <c r="R72" s="2">
        <f t="shared" si="69"/>
        <v>968.44</v>
      </c>
      <c r="S72" s="2">
        <f t="shared" si="69"/>
        <v>32009.37</v>
      </c>
      <c r="T72" s="2">
        <f t="shared" si="69"/>
        <v>0</v>
      </c>
      <c r="U72" s="2">
        <f>AH72</f>
        <v>549.29948760000002</v>
      </c>
      <c r="V72" s="2">
        <f>AI72</f>
        <v>12.437974999999996</v>
      </c>
      <c r="W72" s="2">
        <f>ROUND(AJ72,2)</f>
        <v>0</v>
      </c>
      <c r="X72" s="2">
        <f>ROUND(AK72,2)</f>
        <v>31373.99</v>
      </c>
      <c r="Y72" s="2">
        <f>ROUND(AL72,2)</f>
        <v>17105.349999999999</v>
      </c>
      <c r="Z72" s="2"/>
      <c r="AA72" s="2"/>
      <c r="AB72" s="2">
        <f>ROUND(SUMIF(AA28:AA70,"=39616881",O28:O70),2)</f>
        <v>346423.88</v>
      </c>
      <c r="AC72" s="2">
        <f>ROUND(SUMIF(AA28:AA70,"=39616881",P28:P70),2)</f>
        <v>310159.78999999998</v>
      </c>
      <c r="AD72" s="2">
        <f>ROUND(SUMIF(AA28:AA70,"=39616881",Q28:Q70),2)</f>
        <v>4254.72</v>
      </c>
      <c r="AE72" s="2">
        <f>ROUND(SUMIF(AA28:AA70,"=39616881",R28:R70),2)</f>
        <v>968.44</v>
      </c>
      <c r="AF72" s="2">
        <f>ROUND(SUMIF(AA28:AA70,"=39616881",S28:S70),2)</f>
        <v>32009.37</v>
      </c>
      <c r="AG72" s="2">
        <f>ROUND(SUMIF(AA28:AA70,"=39616881",T28:T70),2)</f>
        <v>0</v>
      </c>
      <c r="AH72" s="2">
        <f>SUMIF(AA28:AA70,"=39616881",U28:U70)</f>
        <v>549.29948760000002</v>
      </c>
      <c r="AI72" s="2">
        <f>SUMIF(AA28:AA70,"=39616881",V28:V70)</f>
        <v>12.437974999999996</v>
      </c>
      <c r="AJ72" s="2">
        <f>ROUND(SUMIF(AA28:AA70,"=39616881",W28:W70),2)</f>
        <v>0</v>
      </c>
      <c r="AK72" s="2">
        <f>ROUND(SUMIF(AA28:AA70,"=39616881",X28:X70),2)</f>
        <v>31373.99</v>
      </c>
      <c r="AL72" s="2">
        <f>ROUND(SUMIF(AA28:AA70,"=39616881",Y28:Y70),2)</f>
        <v>17105.349999999999</v>
      </c>
      <c r="AM72" s="2"/>
      <c r="AN72" s="2"/>
      <c r="AO72" s="2">
        <f t="shared" ref="AO72:BC72" si="70">ROUND(BX72,2)</f>
        <v>0</v>
      </c>
      <c r="AP72" s="2">
        <f t="shared" si="70"/>
        <v>0</v>
      </c>
      <c r="AQ72" s="2">
        <f t="shared" si="70"/>
        <v>0</v>
      </c>
      <c r="AR72" s="2">
        <f t="shared" si="70"/>
        <v>394903.22</v>
      </c>
      <c r="AS72" s="2">
        <f t="shared" si="70"/>
        <v>394903.22</v>
      </c>
      <c r="AT72" s="2">
        <f t="shared" si="70"/>
        <v>0</v>
      </c>
      <c r="AU72" s="2">
        <f t="shared" si="70"/>
        <v>0</v>
      </c>
      <c r="AV72" s="2">
        <f t="shared" si="70"/>
        <v>310159.78999999998</v>
      </c>
      <c r="AW72" s="2">
        <f t="shared" si="70"/>
        <v>310159.78999999998</v>
      </c>
      <c r="AX72" s="2">
        <f t="shared" si="70"/>
        <v>0</v>
      </c>
      <c r="AY72" s="2">
        <f t="shared" si="70"/>
        <v>310159.78999999998</v>
      </c>
      <c r="AZ72" s="2">
        <f t="shared" si="70"/>
        <v>0</v>
      </c>
      <c r="BA72" s="2">
        <f t="shared" si="70"/>
        <v>0</v>
      </c>
      <c r="BB72" s="2">
        <f t="shared" si="70"/>
        <v>0</v>
      </c>
      <c r="BC72" s="2">
        <f t="shared" si="70"/>
        <v>0</v>
      </c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>
        <f>ROUND(SUMIF(AA28:AA70,"=39616881",FQ28:FQ70),2)</f>
        <v>0</v>
      </c>
      <c r="BY72" s="2">
        <f>ROUND(SUMIF(AA28:AA70,"=39616881",FR28:FR70),2)</f>
        <v>0</v>
      </c>
      <c r="BZ72" s="2">
        <f>ROUND(SUMIF(AA28:AA70,"=39616881",GL28:GL70),2)</f>
        <v>0</v>
      </c>
      <c r="CA72" s="2">
        <f>ROUND(SUMIF(AA28:AA70,"=39616881",GM28:GM70),2)</f>
        <v>394903.22</v>
      </c>
      <c r="CB72" s="2">
        <f>ROUND(SUMIF(AA28:AA70,"=39616881",GN28:GN70),2)</f>
        <v>394903.22</v>
      </c>
      <c r="CC72" s="2">
        <f>ROUND(SUMIF(AA28:AA70,"=39616881",GO28:GO70),2)</f>
        <v>0</v>
      </c>
      <c r="CD72" s="2">
        <f>ROUND(SUMIF(AA28:AA70,"=39616881",GP28:GP70),2)</f>
        <v>0</v>
      </c>
      <c r="CE72" s="2">
        <f>AC72-BX72</f>
        <v>310159.78999999998</v>
      </c>
      <c r="CF72" s="2">
        <f>AC72-BY72</f>
        <v>310159.78999999998</v>
      </c>
      <c r="CG72" s="2">
        <f>BX72-BZ72</f>
        <v>0</v>
      </c>
      <c r="CH72" s="2">
        <f>AC72-BX72-BY72+BZ72</f>
        <v>310159.78999999998</v>
      </c>
      <c r="CI72" s="2">
        <f>BY72-BZ72</f>
        <v>0</v>
      </c>
      <c r="CJ72" s="2">
        <f>ROUND(SUMIF(AA28:AA70,"=39616881",GX28:GX70),2)</f>
        <v>0</v>
      </c>
      <c r="CK72" s="2">
        <f>ROUND(SUMIF(AA28:AA70,"=39616881",GY28:GY70),2)</f>
        <v>0</v>
      </c>
      <c r="CL72" s="2">
        <f>ROUND(SUMIF(AA28:AA70,"=39616881",GZ28:GZ70),2)</f>
        <v>0</v>
      </c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>
        <v>0</v>
      </c>
    </row>
    <row r="74" spans="1:245" x14ac:dyDescent="0.2">
      <c r="A74" s="4">
        <v>50</v>
      </c>
      <c r="B74" s="4">
        <v>0</v>
      </c>
      <c r="C74" s="4">
        <v>0</v>
      </c>
      <c r="D74" s="4">
        <v>1</v>
      </c>
      <c r="E74" s="4">
        <v>201</v>
      </c>
      <c r="F74" s="4">
        <f>ROUND(Source!O72,O74)</f>
        <v>346423.88</v>
      </c>
      <c r="G74" s="4" t="s">
        <v>201</v>
      </c>
      <c r="H74" s="4" t="s">
        <v>202</v>
      </c>
      <c r="I74" s="4"/>
      <c r="J74" s="4"/>
      <c r="K74" s="4">
        <v>201</v>
      </c>
      <c r="L74" s="4">
        <v>1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45" x14ac:dyDescent="0.2">
      <c r="A75" s="4">
        <v>50</v>
      </c>
      <c r="B75" s="4">
        <v>0</v>
      </c>
      <c r="C75" s="4">
        <v>0</v>
      </c>
      <c r="D75" s="4">
        <v>1</v>
      </c>
      <c r="E75" s="4">
        <v>202</v>
      </c>
      <c r="F75" s="4">
        <f>ROUND(Source!P72,O75)</f>
        <v>310159.78999999998</v>
      </c>
      <c r="G75" s="4" t="s">
        <v>203</v>
      </c>
      <c r="H75" s="4" t="s">
        <v>204</v>
      </c>
      <c r="I75" s="4"/>
      <c r="J75" s="4"/>
      <c r="K75" s="4">
        <v>202</v>
      </c>
      <c r="L75" s="4">
        <v>2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45" x14ac:dyDescent="0.2">
      <c r="A76" s="4">
        <v>50</v>
      </c>
      <c r="B76" s="4">
        <v>0</v>
      </c>
      <c r="C76" s="4">
        <v>0</v>
      </c>
      <c r="D76" s="4">
        <v>1</v>
      </c>
      <c r="E76" s="4">
        <v>222</v>
      </c>
      <c r="F76" s="4">
        <f>ROUND(Source!AO72,O76)</f>
        <v>0</v>
      </c>
      <c r="G76" s="4" t="s">
        <v>205</v>
      </c>
      <c r="H76" s="4" t="s">
        <v>206</v>
      </c>
      <c r="I76" s="4"/>
      <c r="J76" s="4"/>
      <c r="K76" s="4">
        <v>222</v>
      </c>
      <c r="L76" s="4">
        <v>3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45" x14ac:dyDescent="0.2">
      <c r="A77" s="4">
        <v>50</v>
      </c>
      <c r="B77" s="4">
        <v>0</v>
      </c>
      <c r="C77" s="4">
        <v>0</v>
      </c>
      <c r="D77" s="4">
        <v>1</v>
      </c>
      <c r="E77" s="4">
        <v>225</v>
      </c>
      <c r="F77" s="4">
        <f>ROUND(Source!AV72,O77)</f>
        <v>310159.78999999998</v>
      </c>
      <c r="G77" s="4" t="s">
        <v>207</v>
      </c>
      <c r="H77" s="4" t="s">
        <v>208</v>
      </c>
      <c r="I77" s="4"/>
      <c r="J77" s="4"/>
      <c r="K77" s="4">
        <v>225</v>
      </c>
      <c r="L77" s="4">
        <v>4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45" x14ac:dyDescent="0.2">
      <c r="A78" s="4">
        <v>50</v>
      </c>
      <c r="B78" s="4">
        <v>0</v>
      </c>
      <c r="C78" s="4">
        <v>0</v>
      </c>
      <c r="D78" s="4">
        <v>1</v>
      </c>
      <c r="E78" s="4">
        <v>226</v>
      </c>
      <c r="F78" s="4">
        <f>ROUND(Source!AW72,O78)</f>
        <v>310159.78999999998</v>
      </c>
      <c r="G78" s="4" t="s">
        <v>209</v>
      </c>
      <c r="H78" s="4" t="s">
        <v>210</v>
      </c>
      <c r="I78" s="4"/>
      <c r="J78" s="4"/>
      <c r="K78" s="4">
        <v>226</v>
      </c>
      <c r="L78" s="4">
        <v>5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45" x14ac:dyDescent="0.2">
      <c r="A79" s="4">
        <v>50</v>
      </c>
      <c r="B79" s="4">
        <v>0</v>
      </c>
      <c r="C79" s="4">
        <v>0</v>
      </c>
      <c r="D79" s="4">
        <v>1</v>
      </c>
      <c r="E79" s="4">
        <v>227</v>
      </c>
      <c r="F79" s="4">
        <f>ROUND(Source!AX72,O79)</f>
        <v>0</v>
      </c>
      <c r="G79" s="4" t="s">
        <v>211</v>
      </c>
      <c r="H79" s="4" t="s">
        <v>212</v>
      </c>
      <c r="I79" s="4"/>
      <c r="J79" s="4"/>
      <c r="K79" s="4">
        <v>227</v>
      </c>
      <c r="L79" s="4">
        <v>6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45" x14ac:dyDescent="0.2">
      <c r="A80" s="4">
        <v>50</v>
      </c>
      <c r="B80" s="4">
        <v>0</v>
      </c>
      <c r="C80" s="4">
        <v>0</v>
      </c>
      <c r="D80" s="4">
        <v>1</v>
      </c>
      <c r="E80" s="4">
        <v>228</v>
      </c>
      <c r="F80" s="4">
        <f>ROUND(Source!AY72,O80)</f>
        <v>310159.78999999998</v>
      </c>
      <c r="G80" s="4" t="s">
        <v>213</v>
      </c>
      <c r="H80" s="4" t="s">
        <v>214</v>
      </c>
      <c r="I80" s="4"/>
      <c r="J80" s="4"/>
      <c r="K80" s="4">
        <v>228</v>
      </c>
      <c r="L80" s="4">
        <v>7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216</v>
      </c>
      <c r="F81" s="4">
        <f>ROUND(Source!AP72,O81)</f>
        <v>0</v>
      </c>
      <c r="G81" s="4" t="s">
        <v>215</v>
      </c>
      <c r="H81" s="4" t="s">
        <v>216</v>
      </c>
      <c r="I81" s="4"/>
      <c r="J81" s="4"/>
      <c r="K81" s="4">
        <v>216</v>
      </c>
      <c r="L81" s="4">
        <v>8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223</v>
      </c>
      <c r="F82" s="4">
        <f>ROUND(Source!AQ72,O82)</f>
        <v>0</v>
      </c>
      <c r="G82" s="4" t="s">
        <v>217</v>
      </c>
      <c r="H82" s="4" t="s">
        <v>218</v>
      </c>
      <c r="I82" s="4"/>
      <c r="J82" s="4"/>
      <c r="K82" s="4">
        <v>223</v>
      </c>
      <c r="L82" s="4">
        <v>9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229</v>
      </c>
      <c r="F83" s="4">
        <f>ROUND(Source!AZ72,O83)</f>
        <v>0</v>
      </c>
      <c r="G83" s="4" t="s">
        <v>219</v>
      </c>
      <c r="H83" s="4" t="s">
        <v>220</v>
      </c>
      <c r="I83" s="4"/>
      <c r="J83" s="4"/>
      <c r="K83" s="4">
        <v>229</v>
      </c>
      <c r="L83" s="4">
        <v>10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203</v>
      </c>
      <c r="F84" s="4">
        <f>ROUND(Source!Q72,O84)</f>
        <v>4254.72</v>
      </c>
      <c r="G84" s="4" t="s">
        <v>221</v>
      </c>
      <c r="H84" s="4" t="s">
        <v>222</v>
      </c>
      <c r="I84" s="4"/>
      <c r="J84" s="4"/>
      <c r="K84" s="4">
        <v>203</v>
      </c>
      <c r="L84" s="4">
        <v>11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231</v>
      </c>
      <c r="F85" s="4">
        <f>ROUND(Source!BB72,O85)</f>
        <v>0</v>
      </c>
      <c r="G85" s="4" t="s">
        <v>223</v>
      </c>
      <c r="H85" s="4" t="s">
        <v>224</v>
      </c>
      <c r="I85" s="4"/>
      <c r="J85" s="4"/>
      <c r="K85" s="4">
        <v>231</v>
      </c>
      <c r="L85" s="4">
        <v>12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204</v>
      </c>
      <c r="F86" s="4">
        <f>ROUND(Source!R72,O86)</f>
        <v>968.44</v>
      </c>
      <c r="G86" s="4" t="s">
        <v>225</v>
      </c>
      <c r="H86" s="4" t="s">
        <v>226</v>
      </c>
      <c r="I86" s="4"/>
      <c r="J86" s="4"/>
      <c r="K86" s="4">
        <v>204</v>
      </c>
      <c r="L86" s="4">
        <v>13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205</v>
      </c>
      <c r="F87" s="4">
        <f>ROUND(Source!S72,O87)</f>
        <v>32009.37</v>
      </c>
      <c r="G87" s="4" t="s">
        <v>227</v>
      </c>
      <c r="H87" s="4" t="s">
        <v>228</v>
      </c>
      <c r="I87" s="4"/>
      <c r="J87" s="4"/>
      <c r="K87" s="4">
        <v>205</v>
      </c>
      <c r="L87" s="4">
        <v>14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232</v>
      </c>
      <c r="F88" s="4">
        <f>ROUND(Source!BC72,O88)</f>
        <v>0</v>
      </c>
      <c r="G88" s="4" t="s">
        <v>229</v>
      </c>
      <c r="H88" s="4" t="s">
        <v>230</v>
      </c>
      <c r="I88" s="4"/>
      <c r="J88" s="4"/>
      <c r="K88" s="4">
        <v>232</v>
      </c>
      <c r="L88" s="4">
        <v>15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214</v>
      </c>
      <c r="F89" s="4">
        <f>ROUND(Source!AS72,O89)</f>
        <v>394903.22</v>
      </c>
      <c r="G89" s="4" t="s">
        <v>231</v>
      </c>
      <c r="H89" s="4" t="s">
        <v>232</v>
      </c>
      <c r="I89" s="4"/>
      <c r="J89" s="4"/>
      <c r="K89" s="4">
        <v>214</v>
      </c>
      <c r="L89" s="4">
        <v>16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215</v>
      </c>
      <c r="F90" s="4">
        <f>ROUND(Source!AT72,O90)</f>
        <v>0</v>
      </c>
      <c r="G90" s="4" t="s">
        <v>233</v>
      </c>
      <c r="H90" s="4" t="s">
        <v>234</v>
      </c>
      <c r="I90" s="4"/>
      <c r="J90" s="4"/>
      <c r="K90" s="4">
        <v>215</v>
      </c>
      <c r="L90" s="4">
        <v>17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217</v>
      </c>
      <c r="F91" s="4">
        <f>ROUND(Source!AU72,O91)</f>
        <v>0</v>
      </c>
      <c r="G91" s="4" t="s">
        <v>235</v>
      </c>
      <c r="H91" s="4" t="s">
        <v>236</v>
      </c>
      <c r="I91" s="4"/>
      <c r="J91" s="4"/>
      <c r="K91" s="4">
        <v>217</v>
      </c>
      <c r="L91" s="4">
        <v>18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230</v>
      </c>
      <c r="F92" s="4">
        <f>ROUND(Source!BA72,O92)</f>
        <v>0</v>
      </c>
      <c r="G92" s="4" t="s">
        <v>237</v>
      </c>
      <c r="H92" s="4" t="s">
        <v>238</v>
      </c>
      <c r="I92" s="4"/>
      <c r="J92" s="4"/>
      <c r="K92" s="4">
        <v>230</v>
      </c>
      <c r="L92" s="4">
        <v>19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206</v>
      </c>
      <c r="F93" s="4">
        <f>ROUND(Source!T72,O93)</f>
        <v>0</v>
      </c>
      <c r="G93" s="4" t="s">
        <v>239</v>
      </c>
      <c r="H93" s="4" t="s">
        <v>240</v>
      </c>
      <c r="I93" s="4"/>
      <c r="J93" s="4"/>
      <c r="K93" s="4">
        <v>206</v>
      </c>
      <c r="L93" s="4">
        <v>20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207</v>
      </c>
      <c r="F94" s="4">
        <f>Source!U72</f>
        <v>549.29948760000002</v>
      </c>
      <c r="G94" s="4" t="s">
        <v>241</v>
      </c>
      <c r="H94" s="4" t="s">
        <v>242</v>
      </c>
      <c r="I94" s="4"/>
      <c r="J94" s="4"/>
      <c r="K94" s="4">
        <v>207</v>
      </c>
      <c r="L94" s="4">
        <v>21</v>
      </c>
      <c r="M94" s="4">
        <v>3</v>
      </c>
      <c r="N94" s="4" t="s">
        <v>3</v>
      </c>
      <c r="O94" s="4">
        <v>-1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208</v>
      </c>
      <c r="F95" s="4">
        <f>Source!V72</f>
        <v>12.437974999999996</v>
      </c>
      <c r="G95" s="4" t="s">
        <v>243</v>
      </c>
      <c r="H95" s="4" t="s">
        <v>244</v>
      </c>
      <c r="I95" s="4"/>
      <c r="J95" s="4"/>
      <c r="K95" s="4">
        <v>208</v>
      </c>
      <c r="L95" s="4">
        <v>22</v>
      </c>
      <c r="M95" s="4">
        <v>3</v>
      </c>
      <c r="N95" s="4" t="s">
        <v>3</v>
      </c>
      <c r="O95" s="4">
        <v>-1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209</v>
      </c>
      <c r="F96" s="4">
        <f>ROUND(Source!W72,O96)</f>
        <v>0</v>
      </c>
      <c r="G96" s="4" t="s">
        <v>245</v>
      </c>
      <c r="H96" s="4" t="s">
        <v>246</v>
      </c>
      <c r="I96" s="4"/>
      <c r="J96" s="4"/>
      <c r="K96" s="4">
        <v>209</v>
      </c>
      <c r="L96" s="4">
        <v>23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45" x14ac:dyDescent="0.2">
      <c r="A97" s="4">
        <v>50</v>
      </c>
      <c r="B97" s="4">
        <v>0</v>
      </c>
      <c r="C97" s="4">
        <v>0</v>
      </c>
      <c r="D97" s="4">
        <v>1</v>
      </c>
      <c r="E97" s="4">
        <v>210</v>
      </c>
      <c r="F97" s="4">
        <f>ROUND(Source!X72,O97)</f>
        <v>31373.99</v>
      </c>
      <c r="G97" s="4" t="s">
        <v>247</v>
      </c>
      <c r="H97" s="4" t="s">
        <v>248</v>
      </c>
      <c r="I97" s="4"/>
      <c r="J97" s="4"/>
      <c r="K97" s="4">
        <v>210</v>
      </c>
      <c r="L97" s="4">
        <v>24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45" x14ac:dyDescent="0.2">
      <c r="A98" s="4">
        <v>50</v>
      </c>
      <c r="B98" s="4">
        <v>0</v>
      </c>
      <c r="C98" s="4">
        <v>0</v>
      </c>
      <c r="D98" s="4">
        <v>1</v>
      </c>
      <c r="E98" s="4">
        <v>211</v>
      </c>
      <c r="F98" s="4">
        <f>ROUND(Source!Y72,O98)</f>
        <v>17105.349999999999</v>
      </c>
      <c r="G98" s="4" t="s">
        <v>249</v>
      </c>
      <c r="H98" s="4" t="s">
        <v>250</v>
      </c>
      <c r="I98" s="4"/>
      <c r="J98" s="4"/>
      <c r="K98" s="4">
        <v>211</v>
      </c>
      <c r="L98" s="4">
        <v>25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45" x14ac:dyDescent="0.2">
      <c r="A99" s="4">
        <v>50</v>
      </c>
      <c r="B99" s="4">
        <v>0</v>
      </c>
      <c r="C99" s="4">
        <v>0</v>
      </c>
      <c r="D99" s="4">
        <v>1</v>
      </c>
      <c r="E99" s="4">
        <v>224</v>
      </c>
      <c r="F99" s="4">
        <f>ROUND(Source!AR72,O99)</f>
        <v>394903.22</v>
      </c>
      <c r="G99" s="4" t="s">
        <v>251</v>
      </c>
      <c r="H99" s="4" t="s">
        <v>252</v>
      </c>
      <c r="I99" s="4"/>
      <c r="J99" s="4"/>
      <c r="K99" s="4">
        <v>224</v>
      </c>
      <c r="L99" s="4">
        <v>26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1" spans="1:245" x14ac:dyDescent="0.2">
      <c r="A101" s="1">
        <v>4</v>
      </c>
      <c r="B101" s="1">
        <v>1</v>
      </c>
      <c r="C101" s="1"/>
      <c r="D101" s="1">
        <f>ROW(A131)</f>
        <v>131</v>
      </c>
      <c r="E101" s="1"/>
      <c r="F101" s="1" t="s">
        <v>12</v>
      </c>
      <c r="G101" s="1" t="s">
        <v>253</v>
      </c>
      <c r="H101" s="1" t="s">
        <v>3</v>
      </c>
      <c r="I101" s="1">
        <v>0</v>
      </c>
      <c r="J101" s="1"/>
      <c r="K101" s="1">
        <v>0</v>
      </c>
      <c r="L101" s="1"/>
      <c r="M101" s="1"/>
      <c r="N101" s="1"/>
      <c r="O101" s="1"/>
      <c r="P101" s="1"/>
      <c r="Q101" s="1"/>
      <c r="R101" s="1"/>
      <c r="S101" s="1"/>
      <c r="T101" s="1"/>
      <c r="U101" s="1" t="s">
        <v>3</v>
      </c>
      <c r="V101" s="1">
        <v>0</v>
      </c>
      <c r="W101" s="1"/>
      <c r="X101" s="1"/>
      <c r="Y101" s="1"/>
      <c r="Z101" s="1"/>
      <c r="AA101" s="1"/>
      <c r="AB101" s="1" t="s">
        <v>3</v>
      </c>
      <c r="AC101" s="1" t="s">
        <v>3</v>
      </c>
      <c r="AD101" s="1" t="s">
        <v>3</v>
      </c>
      <c r="AE101" s="1" t="s">
        <v>3</v>
      </c>
      <c r="AF101" s="1" t="s">
        <v>3</v>
      </c>
      <c r="AG101" s="1" t="s">
        <v>3</v>
      </c>
      <c r="AH101" s="1"/>
      <c r="AI101" s="1"/>
      <c r="AJ101" s="1"/>
      <c r="AK101" s="1"/>
      <c r="AL101" s="1"/>
      <c r="AM101" s="1"/>
      <c r="AN101" s="1"/>
      <c r="AO101" s="1"/>
      <c r="AP101" s="1" t="s">
        <v>3</v>
      </c>
      <c r="AQ101" s="1" t="s">
        <v>3</v>
      </c>
      <c r="AR101" s="1" t="s">
        <v>3</v>
      </c>
      <c r="AS101" s="1"/>
      <c r="AT101" s="1"/>
      <c r="AU101" s="1"/>
      <c r="AV101" s="1"/>
      <c r="AW101" s="1"/>
      <c r="AX101" s="1"/>
      <c r="AY101" s="1"/>
      <c r="AZ101" s="1" t="s">
        <v>3</v>
      </c>
      <c r="BA101" s="1"/>
      <c r="BB101" s="1" t="s">
        <v>3</v>
      </c>
      <c r="BC101" s="1" t="s">
        <v>3</v>
      </c>
      <c r="BD101" s="1" t="s">
        <v>3</v>
      </c>
      <c r="BE101" s="1" t="s">
        <v>3</v>
      </c>
      <c r="BF101" s="1" t="s">
        <v>3</v>
      </c>
      <c r="BG101" s="1" t="s">
        <v>3</v>
      </c>
      <c r="BH101" s="1" t="s">
        <v>3</v>
      </c>
      <c r="BI101" s="1" t="s">
        <v>3</v>
      </c>
      <c r="BJ101" s="1" t="s">
        <v>3</v>
      </c>
      <c r="BK101" s="1" t="s">
        <v>3</v>
      </c>
      <c r="BL101" s="1" t="s">
        <v>3</v>
      </c>
      <c r="BM101" s="1" t="s">
        <v>3</v>
      </c>
      <c r="BN101" s="1" t="s">
        <v>3</v>
      </c>
      <c r="BO101" s="1" t="s">
        <v>3</v>
      </c>
      <c r="BP101" s="1" t="s">
        <v>3</v>
      </c>
      <c r="BQ101" s="1"/>
      <c r="BR101" s="1"/>
      <c r="BS101" s="1"/>
      <c r="BT101" s="1"/>
      <c r="BU101" s="1"/>
      <c r="BV101" s="1"/>
      <c r="BW101" s="1"/>
      <c r="BX101" s="1">
        <v>0</v>
      </c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>
        <v>0</v>
      </c>
    </row>
    <row r="103" spans="1:245" x14ac:dyDescent="0.2">
      <c r="A103" s="2">
        <v>52</v>
      </c>
      <c r="B103" s="2">
        <f t="shared" ref="B103:G103" si="71">B131</f>
        <v>1</v>
      </c>
      <c r="C103" s="2">
        <f t="shared" si="71"/>
        <v>4</v>
      </c>
      <c r="D103" s="2">
        <f t="shared" si="71"/>
        <v>101</v>
      </c>
      <c r="E103" s="2">
        <f t="shared" si="71"/>
        <v>0</v>
      </c>
      <c r="F103" s="2" t="str">
        <f t="shared" si="71"/>
        <v>Новый раздел</v>
      </c>
      <c r="G103" s="2" t="str">
        <f t="shared" si="71"/>
        <v>2 Система электроснабжения</v>
      </c>
      <c r="H103" s="2"/>
      <c r="I103" s="2"/>
      <c r="J103" s="2"/>
      <c r="K103" s="2"/>
      <c r="L103" s="2"/>
      <c r="M103" s="2"/>
      <c r="N103" s="2"/>
      <c r="O103" s="2">
        <f t="shared" ref="O103:AT103" si="72">O131</f>
        <v>128181.07</v>
      </c>
      <c r="P103" s="2">
        <f t="shared" si="72"/>
        <v>122914.63</v>
      </c>
      <c r="Q103" s="2">
        <f t="shared" si="72"/>
        <v>385.36</v>
      </c>
      <c r="R103" s="2">
        <f t="shared" si="72"/>
        <v>54.32</v>
      </c>
      <c r="S103" s="2">
        <f t="shared" si="72"/>
        <v>4881.08</v>
      </c>
      <c r="T103" s="2">
        <f t="shared" si="72"/>
        <v>0</v>
      </c>
      <c r="U103" s="2">
        <f t="shared" si="72"/>
        <v>77.084700000000012</v>
      </c>
      <c r="V103" s="2">
        <f t="shared" si="72"/>
        <v>0.65200000000000002</v>
      </c>
      <c r="W103" s="2">
        <f t="shared" si="72"/>
        <v>0</v>
      </c>
      <c r="X103" s="2">
        <f t="shared" si="72"/>
        <v>4653.4799999999996</v>
      </c>
      <c r="Y103" s="2">
        <f t="shared" si="72"/>
        <v>3208</v>
      </c>
      <c r="Z103" s="2">
        <f t="shared" si="72"/>
        <v>0</v>
      </c>
      <c r="AA103" s="2">
        <f t="shared" si="72"/>
        <v>0</v>
      </c>
      <c r="AB103" s="2">
        <f t="shared" si="72"/>
        <v>128181.07</v>
      </c>
      <c r="AC103" s="2">
        <f t="shared" si="72"/>
        <v>122914.63</v>
      </c>
      <c r="AD103" s="2">
        <f t="shared" si="72"/>
        <v>385.36</v>
      </c>
      <c r="AE103" s="2">
        <f t="shared" si="72"/>
        <v>54.32</v>
      </c>
      <c r="AF103" s="2">
        <f t="shared" si="72"/>
        <v>4881.08</v>
      </c>
      <c r="AG103" s="2">
        <f t="shared" si="72"/>
        <v>0</v>
      </c>
      <c r="AH103" s="2">
        <f t="shared" si="72"/>
        <v>77.084700000000012</v>
      </c>
      <c r="AI103" s="2">
        <f t="shared" si="72"/>
        <v>0.65200000000000002</v>
      </c>
      <c r="AJ103" s="2">
        <f t="shared" si="72"/>
        <v>0</v>
      </c>
      <c r="AK103" s="2">
        <f t="shared" si="72"/>
        <v>4653.4799999999996</v>
      </c>
      <c r="AL103" s="2">
        <f t="shared" si="72"/>
        <v>3208</v>
      </c>
      <c r="AM103" s="2">
        <f t="shared" si="72"/>
        <v>0</v>
      </c>
      <c r="AN103" s="2">
        <f t="shared" si="72"/>
        <v>0</v>
      </c>
      <c r="AO103" s="2">
        <f t="shared" si="72"/>
        <v>0</v>
      </c>
      <c r="AP103" s="2">
        <f t="shared" si="72"/>
        <v>0</v>
      </c>
      <c r="AQ103" s="2">
        <f t="shared" si="72"/>
        <v>0</v>
      </c>
      <c r="AR103" s="2">
        <f t="shared" si="72"/>
        <v>136042.54999999999</v>
      </c>
      <c r="AS103" s="2">
        <f t="shared" si="72"/>
        <v>881.73</v>
      </c>
      <c r="AT103" s="2">
        <f t="shared" si="72"/>
        <v>135160.82</v>
      </c>
      <c r="AU103" s="2">
        <f t="shared" ref="AU103:BZ103" si="73">AU131</f>
        <v>0</v>
      </c>
      <c r="AV103" s="2">
        <f t="shared" si="73"/>
        <v>122914.63</v>
      </c>
      <c r="AW103" s="2">
        <f t="shared" si="73"/>
        <v>122914.63</v>
      </c>
      <c r="AX103" s="2">
        <f t="shared" si="73"/>
        <v>0</v>
      </c>
      <c r="AY103" s="2">
        <f t="shared" si="73"/>
        <v>122914.63</v>
      </c>
      <c r="AZ103" s="2">
        <f t="shared" si="73"/>
        <v>0</v>
      </c>
      <c r="BA103" s="2">
        <f t="shared" si="73"/>
        <v>0</v>
      </c>
      <c r="BB103" s="2">
        <f t="shared" si="73"/>
        <v>0</v>
      </c>
      <c r="BC103" s="2">
        <f t="shared" si="73"/>
        <v>0</v>
      </c>
      <c r="BD103" s="2">
        <f t="shared" si="73"/>
        <v>0</v>
      </c>
      <c r="BE103" s="2">
        <f t="shared" si="73"/>
        <v>0</v>
      </c>
      <c r="BF103" s="2">
        <f t="shared" si="73"/>
        <v>0</v>
      </c>
      <c r="BG103" s="2">
        <f t="shared" si="73"/>
        <v>0</v>
      </c>
      <c r="BH103" s="2">
        <f t="shared" si="73"/>
        <v>0</v>
      </c>
      <c r="BI103" s="2">
        <f t="shared" si="73"/>
        <v>0</v>
      </c>
      <c r="BJ103" s="2">
        <f t="shared" si="73"/>
        <v>0</v>
      </c>
      <c r="BK103" s="2">
        <f t="shared" si="73"/>
        <v>0</v>
      </c>
      <c r="BL103" s="2">
        <f t="shared" si="73"/>
        <v>0</v>
      </c>
      <c r="BM103" s="2">
        <f t="shared" si="73"/>
        <v>0</v>
      </c>
      <c r="BN103" s="2">
        <f t="shared" si="73"/>
        <v>0</v>
      </c>
      <c r="BO103" s="2">
        <f t="shared" si="73"/>
        <v>0</v>
      </c>
      <c r="BP103" s="2">
        <f t="shared" si="73"/>
        <v>0</v>
      </c>
      <c r="BQ103" s="2">
        <f t="shared" si="73"/>
        <v>0</v>
      </c>
      <c r="BR103" s="2">
        <f t="shared" si="73"/>
        <v>0</v>
      </c>
      <c r="BS103" s="2">
        <f t="shared" si="73"/>
        <v>0</v>
      </c>
      <c r="BT103" s="2">
        <f t="shared" si="73"/>
        <v>0</v>
      </c>
      <c r="BU103" s="2">
        <f t="shared" si="73"/>
        <v>0</v>
      </c>
      <c r="BV103" s="2">
        <f t="shared" si="73"/>
        <v>0</v>
      </c>
      <c r="BW103" s="2">
        <f t="shared" si="73"/>
        <v>0</v>
      </c>
      <c r="BX103" s="2">
        <f t="shared" si="73"/>
        <v>0</v>
      </c>
      <c r="BY103" s="2">
        <f t="shared" si="73"/>
        <v>0</v>
      </c>
      <c r="BZ103" s="2">
        <f t="shared" si="73"/>
        <v>0</v>
      </c>
      <c r="CA103" s="2">
        <f t="shared" ref="CA103:DF103" si="74">CA131</f>
        <v>136042.54999999999</v>
      </c>
      <c r="CB103" s="2">
        <f t="shared" si="74"/>
        <v>881.73</v>
      </c>
      <c r="CC103" s="2">
        <f t="shared" si="74"/>
        <v>135160.82</v>
      </c>
      <c r="CD103" s="2">
        <f t="shared" si="74"/>
        <v>0</v>
      </c>
      <c r="CE103" s="2">
        <f t="shared" si="74"/>
        <v>122914.63</v>
      </c>
      <c r="CF103" s="2">
        <f t="shared" si="74"/>
        <v>122914.63</v>
      </c>
      <c r="CG103" s="2">
        <f t="shared" si="74"/>
        <v>0</v>
      </c>
      <c r="CH103" s="2">
        <f t="shared" si="74"/>
        <v>122914.63</v>
      </c>
      <c r="CI103" s="2">
        <f t="shared" si="74"/>
        <v>0</v>
      </c>
      <c r="CJ103" s="2">
        <f t="shared" si="74"/>
        <v>0</v>
      </c>
      <c r="CK103" s="2">
        <f t="shared" si="74"/>
        <v>0</v>
      </c>
      <c r="CL103" s="2">
        <f t="shared" si="74"/>
        <v>0</v>
      </c>
      <c r="CM103" s="2">
        <f t="shared" si="74"/>
        <v>0</v>
      </c>
      <c r="CN103" s="2">
        <f t="shared" si="74"/>
        <v>0</v>
      </c>
      <c r="CO103" s="2">
        <f t="shared" si="74"/>
        <v>0</v>
      </c>
      <c r="CP103" s="2">
        <f t="shared" si="74"/>
        <v>0</v>
      </c>
      <c r="CQ103" s="2">
        <f t="shared" si="74"/>
        <v>0</v>
      </c>
      <c r="CR103" s="2">
        <f t="shared" si="74"/>
        <v>0</v>
      </c>
      <c r="CS103" s="2">
        <f t="shared" si="74"/>
        <v>0</v>
      </c>
      <c r="CT103" s="2">
        <f t="shared" si="74"/>
        <v>0</v>
      </c>
      <c r="CU103" s="2">
        <f t="shared" si="74"/>
        <v>0</v>
      </c>
      <c r="CV103" s="2">
        <f t="shared" si="74"/>
        <v>0</v>
      </c>
      <c r="CW103" s="2">
        <f t="shared" si="74"/>
        <v>0</v>
      </c>
      <c r="CX103" s="2">
        <f t="shared" si="74"/>
        <v>0</v>
      </c>
      <c r="CY103" s="2">
        <f t="shared" si="74"/>
        <v>0</v>
      </c>
      <c r="CZ103" s="2">
        <f t="shared" si="74"/>
        <v>0</v>
      </c>
      <c r="DA103" s="2">
        <f t="shared" si="74"/>
        <v>0</v>
      </c>
      <c r="DB103" s="2">
        <f t="shared" si="74"/>
        <v>0</v>
      </c>
      <c r="DC103" s="2">
        <f t="shared" si="74"/>
        <v>0</v>
      </c>
      <c r="DD103" s="2">
        <f t="shared" si="74"/>
        <v>0</v>
      </c>
      <c r="DE103" s="2">
        <f t="shared" si="74"/>
        <v>0</v>
      </c>
      <c r="DF103" s="2">
        <f t="shared" si="74"/>
        <v>0</v>
      </c>
      <c r="DG103" s="3">
        <f t="shared" ref="DG103:EL103" si="75">DG131</f>
        <v>0</v>
      </c>
      <c r="DH103" s="3">
        <f t="shared" si="75"/>
        <v>0</v>
      </c>
      <c r="DI103" s="3">
        <f t="shared" si="75"/>
        <v>0</v>
      </c>
      <c r="DJ103" s="3">
        <f t="shared" si="75"/>
        <v>0</v>
      </c>
      <c r="DK103" s="3">
        <f t="shared" si="75"/>
        <v>0</v>
      </c>
      <c r="DL103" s="3">
        <f t="shared" si="75"/>
        <v>0</v>
      </c>
      <c r="DM103" s="3">
        <f t="shared" si="75"/>
        <v>0</v>
      </c>
      <c r="DN103" s="3">
        <f t="shared" si="75"/>
        <v>0</v>
      </c>
      <c r="DO103" s="3">
        <f t="shared" si="75"/>
        <v>0</v>
      </c>
      <c r="DP103" s="3">
        <f t="shared" si="75"/>
        <v>0</v>
      </c>
      <c r="DQ103" s="3">
        <f t="shared" si="75"/>
        <v>0</v>
      </c>
      <c r="DR103" s="3">
        <f t="shared" si="75"/>
        <v>0</v>
      </c>
      <c r="DS103" s="3">
        <f t="shared" si="75"/>
        <v>0</v>
      </c>
      <c r="DT103" s="3">
        <f t="shared" si="75"/>
        <v>0</v>
      </c>
      <c r="DU103" s="3">
        <f t="shared" si="75"/>
        <v>0</v>
      </c>
      <c r="DV103" s="3">
        <f t="shared" si="75"/>
        <v>0</v>
      </c>
      <c r="DW103" s="3">
        <f t="shared" si="75"/>
        <v>0</v>
      </c>
      <c r="DX103" s="3">
        <f t="shared" si="75"/>
        <v>0</v>
      </c>
      <c r="DY103" s="3">
        <f t="shared" si="75"/>
        <v>0</v>
      </c>
      <c r="DZ103" s="3">
        <f t="shared" si="75"/>
        <v>0</v>
      </c>
      <c r="EA103" s="3">
        <f t="shared" si="75"/>
        <v>0</v>
      </c>
      <c r="EB103" s="3">
        <f t="shared" si="75"/>
        <v>0</v>
      </c>
      <c r="EC103" s="3">
        <f t="shared" si="75"/>
        <v>0</v>
      </c>
      <c r="ED103" s="3">
        <f t="shared" si="75"/>
        <v>0</v>
      </c>
      <c r="EE103" s="3">
        <f t="shared" si="75"/>
        <v>0</v>
      </c>
      <c r="EF103" s="3">
        <f t="shared" si="75"/>
        <v>0</v>
      </c>
      <c r="EG103" s="3">
        <f t="shared" si="75"/>
        <v>0</v>
      </c>
      <c r="EH103" s="3">
        <f t="shared" si="75"/>
        <v>0</v>
      </c>
      <c r="EI103" s="3">
        <f t="shared" si="75"/>
        <v>0</v>
      </c>
      <c r="EJ103" s="3">
        <f t="shared" si="75"/>
        <v>0</v>
      </c>
      <c r="EK103" s="3">
        <f t="shared" si="75"/>
        <v>0</v>
      </c>
      <c r="EL103" s="3">
        <f t="shared" si="75"/>
        <v>0</v>
      </c>
      <c r="EM103" s="3">
        <f t="shared" ref="EM103:FR103" si="76">EM131</f>
        <v>0</v>
      </c>
      <c r="EN103" s="3">
        <f t="shared" si="76"/>
        <v>0</v>
      </c>
      <c r="EO103" s="3">
        <f t="shared" si="76"/>
        <v>0</v>
      </c>
      <c r="EP103" s="3">
        <f t="shared" si="76"/>
        <v>0</v>
      </c>
      <c r="EQ103" s="3">
        <f t="shared" si="76"/>
        <v>0</v>
      </c>
      <c r="ER103" s="3">
        <f t="shared" si="76"/>
        <v>0</v>
      </c>
      <c r="ES103" s="3">
        <f t="shared" si="76"/>
        <v>0</v>
      </c>
      <c r="ET103" s="3">
        <f t="shared" si="76"/>
        <v>0</v>
      </c>
      <c r="EU103" s="3">
        <f t="shared" si="76"/>
        <v>0</v>
      </c>
      <c r="EV103" s="3">
        <f t="shared" si="76"/>
        <v>0</v>
      </c>
      <c r="EW103" s="3">
        <f t="shared" si="76"/>
        <v>0</v>
      </c>
      <c r="EX103" s="3">
        <f t="shared" si="76"/>
        <v>0</v>
      </c>
      <c r="EY103" s="3">
        <f t="shared" si="76"/>
        <v>0</v>
      </c>
      <c r="EZ103" s="3">
        <f t="shared" si="76"/>
        <v>0</v>
      </c>
      <c r="FA103" s="3">
        <f t="shared" si="76"/>
        <v>0</v>
      </c>
      <c r="FB103" s="3">
        <f t="shared" si="76"/>
        <v>0</v>
      </c>
      <c r="FC103" s="3">
        <f t="shared" si="76"/>
        <v>0</v>
      </c>
      <c r="FD103" s="3">
        <f t="shared" si="76"/>
        <v>0</v>
      </c>
      <c r="FE103" s="3">
        <f t="shared" si="76"/>
        <v>0</v>
      </c>
      <c r="FF103" s="3">
        <f t="shared" si="76"/>
        <v>0</v>
      </c>
      <c r="FG103" s="3">
        <f t="shared" si="76"/>
        <v>0</v>
      </c>
      <c r="FH103" s="3">
        <f t="shared" si="76"/>
        <v>0</v>
      </c>
      <c r="FI103" s="3">
        <f t="shared" si="76"/>
        <v>0</v>
      </c>
      <c r="FJ103" s="3">
        <f t="shared" si="76"/>
        <v>0</v>
      </c>
      <c r="FK103" s="3">
        <f t="shared" si="76"/>
        <v>0</v>
      </c>
      <c r="FL103" s="3">
        <f t="shared" si="76"/>
        <v>0</v>
      </c>
      <c r="FM103" s="3">
        <f t="shared" si="76"/>
        <v>0</v>
      </c>
      <c r="FN103" s="3">
        <f t="shared" si="76"/>
        <v>0</v>
      </c>
      <c r="FO103" s="3">
        <f t="shared" si="76"/>
        <v>0</v>
      </c>
      <c r="FP103" s="3">
        <f t="shared" si="76"/>
        <v>0</v>
      </c>
      <c r="FQ103" s="3">
        <f t="shared" si="76"/>
        <v>0</v>
      </c>
      <c r="FR103" s="3">
        <f t="shared" si="76"/>
        <v>0</v>
      </c>
      <c r="FS103" s="3">
        <f t="shared" ref="FS103:GX103" si="77">FS131</f>
        <v>0</v>
      </c>
      <c r="FT103" s="3">
        <f t="shared" si="77"/>
        <v>0</v>
      </c>
      <c r="FU103" s="3">
        <f t="shared" si="77"/>
        <v>0</v>
      </c>
      <c r="FV103" s="3">
        <f t="shared" si="77"/>
        <v>0</v>
      </c>
      <c r="FW103" s="3">
        <f t="shared" si="77"/>
        <v>0</v>
      </c>
      <c r="FX103" s="3">
        <f t="shared" si="77"/>
        <v>0</v>
      </c>
      <c r="FY103" s="3">
        <f t="shared" si="77"/>
        <v>0</v>
      </c>
      <c r="FZ103" s="3">
        <f t="shared" si="77"/>
        <v>0</v>
      </c>
      <c r="GA103" s="3">
        <f t="shared" si="77"/>
        <v>0</v>
      </c>
      <c r="GB103" s="3">
        <f t="shared" si="77"/>
        <v>0</v>
      </c>
      <c r="GC103" s="3">
        <f t="shared" si="77"/>
        <v>0</v>
      </c>
      <c r="GD103" s="3">
        <f t="shared" si="77"/>
        <v>0</v>
      </c>
      <c r="GE103" s="3">
        <f t="shared" si="77"/>
        <v>0</v>
      </c>
      <c r="GF103" s="3">
        <f t="shared" si="77"/>
        <v>0</v>
      </c>
      <c r="GG103" s="3">
        <f t="shared" si="77"/>
        <v>0</v>
      </c>
      <c r="GH103" s="3">
        <f t="shared" si="77"/>
        <v>0</v>
      </c>
      <c r="GI103" s="3">
        <f t="shared" si="77"/>
        <v>0</v>
      </c>
      <c r="GJ103" s="3">
        <f t="shared" si="77"/>
        <v>0</v>
      </c>
      <c r="GK103" s="3">
        <f t="shared" si="77"/>
        <v>0</v>
      </c>
      <c r="GL103" s="3">
        <f t="shared" si="77"/>
        <v>0</v>
      </c>
      <c r="GM103" s="3">
        <f t="shared" si="77"/>
        <v>0</v>
      </c>
      <c r="GN103" s="3">
        <f t="shared" si="77"/>
        <v>0</v>
      </c>
      <c r="GO103" s="3">
        <f t="shared" si="77"/>
        <v>0</v>
      </c>
      <c r="GP103" s="3">
        <f t="shared" si="77"/>
        <v>0</v>
      </c>
      <c r="GQ103" s="3">
        <f t="shared" si="77"/>
        <v>0</v>
      </c>
      <c r="GR103" s="3">
        <f t="shared" si="77"/>
        <v>0</v>
      </c>
      <c r="GS103" s="3">
        <f t="shared" si="77"/>
        <v>0</v>
      </c>
      <c r="GT103" s="3">
        <f t="shared" si="77"/>
        <v>0</v>
      </c>
      <c r="GU103" s="3">
        <f t="shared" si="77"/>
        <v>0</v>
      </c>
      <c r="GV103" s="3">
        <f t="shared" si="77"/>
        <v>0</v>
      </c>
      <c r="GW103" s="3">
        <f t="shared" si="77"/>
        <v>0</v>
      </c>
      <c r="GX103" s="3">
        <f t="shared" si="77"/>
        <v>0</v>
      </c>
    </row>
    <row r="105" spans="1:245" x14ac:dyDescent="0.2">
      <c r="A105">
        <v>17</v>
      </c>
      <c r="B105">
        <v>1</v>
      </c>
      <c r="C105">
        <f>ROW(SmtRes!A110)</f>
        <v>110</v>
      </c>
      <c r="D105">
        <f>ROW(EtalonRes!A105)</f>
        <v>105</v>
      </c>
      <c r="E105" t="s">
        <v>254</v>
      </c>
      <c r="F105" t="s">
        <v>255</v>
      </c>
      <c r="G105" t="s">
        <v>256</v>
      </c>
      <c r="H105" t="s">
        <v>43</v>
      </c>
      <c r="I105">
        <f>ROUND(33/100,9)</f>
        <v>0.33</v>
      </c>
      <c r="J105">
        <v>0</v>
      </c>
      <c r="O105">
        <f t="shared" ref="O105:O129" si="78">ROUND(CP105,2)</f>
        <v>318.42</v>
      </c>
      <c r="P105">
        <f t="shared" ref="P105:P129" si="79">ROUND(CQ105*I105,2)</f>
        <v>0</v>
      </c>
      <c r="Q105">
        <f t="shared" ref="Q105:Q129" si="80">ROUND(CR105*I105,2)</f>
        <v>5.45</v>
      </c>
      <c r="R105">
        <f t="shared" ref="R105:R129" si="81">ROUND(CS105*I105,2)</f>
        <v>2.36</v>
      </c>
      <c r="S105">
        <f t="shared" ref="S105:S129" si="82">ROUND(CT105*I105,2)</f>
        <v>312.97000000000003</v>
      </c>
      <c r="T105">
        <f t="shared" ref="T105:T129" si="83">ROUND(CU105*I105,2)</f>
        <v>0</v>
      </c>
      <c r="U105">
        <f t="shared" ref="U105:U129" si="84">CV105*I105</f>
        <v>5.9037000000000006</v>
      </c>
      <c r="V105">
        <f t="shared" ref="V105:V129" si="85">CW105*I105</f>
        <v>2.6400000000000003E-2</v>
      </c>
      <c r="W105">
        <f t="shared" ref="W105:W129" si="86">ROUND(CX105*I105,2)</f>
        <v>0</v>
      </c>
      <c r="X105">
        <f t="shared" ref="X105:X129" si="87">ROUND(CY105,2)</f>
        <v>268.02999999999997</v>
      </c>
      <c r="Y105">
        <f t="shared" ref="Y105:Y129" si="88">ROUND(CZ105,2)</f>
        <v>204.96</v>
      </c>
      <c r="AA105">
        <v>39616881</v>
      </c>
      <c r="AB105">
        <f t="shared" ref="AB105:AB129" si="89">ROUND((AC105+AD105+AF105),2)</f>
        <v>145.97999999999999</v>
      </c>
      <c r="AC105">
        <f>ROUND((ES105),2)</f>
        <v>0</v>
      </c>
      <c r="AD105">
        <f>ROUND((((ET105)-(EU105))+AE105),2)</f>
        <v>2.5</v>
      </c>
      <c r="AE105">
        <f>ROUND((EU105),2)</f>
        <v>1.08</v>
      </c>
      <c r="AF105">
        <f>ROUND((EV105),2)</f>
        <v>143.47999999999999</v>
      </c>
      <c r="AG105">
        <f t="shared" ref="AG105:AG129" si="90">ROUND((AP105),2)</f>
        <v>0</v>
      </c>
      <c r="AH105">
        <f>(EW105)</f>
        <v>17.89</v>
      </c>
      <c r="AI105">
        <f>(EX105)</f>
        <v>0.08</v>
      </c>
      <c r="AJ105">
        <f t="shared" ref="AJ105:AJ129" si="91">ROUND((AS105),2)</f>
        <v>0</v>
      </c>
      <c r="AK105">
        <v>145.97999999999999</v>
      </c>
      <c r="AL105">
        <v>0</v>
      </c>
      <c r="AM105">
        <v>2.5</v>
      </c>
      <c r="AN105">
        <v>1.08</v>
      </c>
      <c r="AO105">
        <v>143.47999999999999</v>
      </c>
      <c r="AP105">
        <v>0</v>
      </c>
      <c r="AQ105">
        <v>17.89</v>
      </c>
      <c r="AR105">
        <v>0.08</v>
      </c>
      <c r="AS105">
        <v>0</v>
      </c>
      <c r="AT105">
        <v>85</v>
      </c>
      <c r="AU105">
        <v>65</v>
      </c>
      <c r="AV105">
        <v>1</v>
      </c>
      <c r="AW105">
        <v>1</v>
      </c>
      <c r="AZ105">
        <v>6.61</v>
      </c>
      <c r="BA105">
        <v>6.61</v>
      </c>
      <c r="BB105">
        <v>6.61</v>
      </c>
      <c r="BC105">
        <v>6.61</v>
      </c>
      <c r="BD105" t="s">
        <v>3</v>
      </c>
      <c r="BE105" t="s">
        <v>3</v>
      </c>
      <c r="BF105" t="s">
        <v>3</v>
      </c>
      <c r="BG105" t="s">
        <v>3</v>
      </c>
      <c r="BH105">
        <v>0</v>
      </c>
      <c r="BI105">
        <v>1</v>
      </c>
      <c r="BJ105" t="s">
        <v>257</v>
      </c>
      <c r="BM105">
        <v>67001</v>
      </c>
      <c r="BN105">
        <v>0</v>
      </c>
      <c r="BO105" t="s">
        <v>3</v>
      </c>
      <c r="BP105">
        <v>0</v>
      </c>
      <c r="BQ105">
        <v>6</v>
      </c>
      <c r="BR105">
        <v>0</v>
      </c>
      <c r="BS105">
        <v>6.61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85</v>
      </c>
      <c r="CA105">
        <v>65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ref="CP105:CP129" si="92">(P105+Q105+S105)</f>
        <v>318.42</v>
      </c>
      <c r="CQ105">
        <f t="shared" ref="CQ105:CQ129" si="93">AC105*BC105</f>
        <v>0</v>
      </c>
      <c r="CR105">
        <f t="shared" ref="CR105:CR129" si="94">AD105*BB105</f>
        <v>16.525000000000002</v>
      </c>
      <c r="CS105">
        <f t="shared" ref="CS105:CS129" si="95">AE105*BS105</f>
        <v>7.1388000000000007</v>
      </c>
      <c r="CT105">
        <f t="shared" ref="CT105:CT129" si="96">AF105*BA105</f>
        <v>948.40279999999996</v>
      </c>
      <c r="CU105">
        <f t="shared" ref="CU105:CU129" si="97">AG105</f>
        <v>0</v>
      </c>
      <c r="CV105">
        <f t="shared" ref="CV105:CV129" si="98">AH105</f>
        <v>17.89</v>
      </c>
      <c r="CW105">
        <f t="shared" ref="CW105:CW129" si="99">AI105</f>
        <v>0.08</v>
      </c>
      <c r="CX105">
        <f t="shared" ref="CX105:CX129" si="100">AJ105</f>
        <v>0</v>
      </c>
      <c r="CY105">
        <f t="shared" ref="CY105:CY129" si="101">(((S105+R105)*AT105)/100)</f>
        <v>268.03050000000002</v>
      </c>
      <c r="CZ105">
        <f t="shared" ref="CZ105:CZ129" si="102">(((S105+R105)*AU105)/100)</f>
        <v>204.96450000000004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43</v>
      </c>
      <c r="DW105" t="s">
        <v>43</v>
      </c>
      <c r="DX105">
        <v>1</v>
      </c>
      <c r="EE105">
        <v>39174628</v>
      </c>
      <c r="EF105">
        <v>6</v>
      </c>
      <c r="EG105" t="s">
        <v>19</v>
      </c>
      <c r="EH105">
        <v>0</v>
      </c>
      <c r="EI105" t="s">
        <v>3</v>
      </c>
      <c r="EJ105">
        <v>1</v>
      </c>
      <c r="EK105">
        <v>67001</v>
      </c>
      <c r="EL105" t="s">
        <v>258</v>
      </c>
      <c r="EM105" t="s">
        <v>259</v>
      </c>
      <c r="EO105" t="s">
        <v>3</v>
      </c>
      <c r="EQ105">
        <v>0</v>
      </c>
      <c r="ER105">
        <v>145.97999999999999</v>
      </c>
      <c r="ES105">
        <v>0</v>
      </c>
      <c r="ET105">
        <v>2.5</v>
      </c>
      <c r="EU105">
        <v>1.08</v>
      </c>
      <c r="EV105">
        <v>143.47999999999999</v>
      </c>
      <c r="EW105">
        <v>17.89</v>
      </c>
      <c r="EX105">
        <v>0.08</v>
      </c>
      <c r="EY105">
        <v>0</v>
      </c>
      <c r="FQ105">
        <v>0</v>
      </c>
      <c r="FR105">
        <f t="shared" ref="FR105:FR129" si="103">ROUND(IF(AND(BH105=3,BI105=3),P105,0),2)</f>
        <v>0</v>
      </c>
      <c r="FS105">
        <v>0</v>
      </c>
      <c r="FX105">
        <v>85</v>
      </c>
      <c r="FY105">
        <v>65</v>
      </c>
      <c r="GA105" t="s">
        <v>3</v>
      </c>
      <c r="GD105">
        <v>0</v>
      </c>
      <c r="GF105">
        <v>1077668203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ref="GL105:GL129" si="104">ROUND(IF(AND(BH105=3,BI105=3,FS105&lt;&gt;0),P105,0),2)</f>
        <v>0</v>
      </c>
      <c r="GM105">
        <f t="shared" ref="GM105:GM129" si="105">ROUND(O105+X105+Y105+GK105,2)+GX105</f>
        <v>791.41</v>
      </c>
      <c r="GN105">
        <f t="shared" ref="GN105:GN129" si="106">IF(OR(BI105=0,BI105=1),ROUND(O105+X105+Y105+GK105,2),0)</f>
        <v>791.41</v>
      </c>
      <c r="GO105">
        <f t="shared" ref="GO105:GO129" si="107">IF(BI105=2,ROUND(O105+X105+Y105+GK105,2),0)</f>
        <v>0</v>
      </c>
      <c r="GP105">
        <f t="shared" ref="GP105:GP129" si="108">IF(BI105=4,ROUND(O105+X105+Y105+GK105,2)+GX105,0)</f>
        <v>0</v>
      </c>
      <c r="GR105">
        <v>0</v>
      </c>
      <c r="GS105">
        <v>3</v>
      </c>
      <c r="GT105">
        <v>0</v>
      </c>
      <c r="GU105" t="s">
        <v>3</v>
      </c>
      <c r="GV105">
        <f t="shared" ref="GV105:GV129" si="109">ROUND(GT105,2)</f>
        <v>0</v>
      </c>
      <c r="GW105">
        <v>1</v>
      </c>
      <c r="GX105">
        <f t="shared" ref="GX105:GX129" si="110">ROUND(GV105*GW105*I105,2)</f>
        <v>0</v>
      </c>
      <c r="HA105">
        <v>0</v>
      </c>
      <c r="HB105">
        <v>0</v>
      </c>
      <c r="IK105">
        <v>0</v>
      </c>
    </row>
    <row r="106" spans="1:245" x14ac:dyDescent="0.2">
      <c r="A106">
        <v>17</v>
      </c>
      <c r="B106">
        <v>1</v>
      </c>
      <c r="C106">
        <f>ROW(SmtRes!A118)</f>
        <v>118</v>
      </c>
      <c r="D106">
        <f>ROW(EtalonRes!A113)</f>
        <v>113</v>
      </c>
      <c r="E106" t="s">
        <v>260</v>
      </c>
      <c r="F106" t="s">
        <v>261</v>
      </c>
      <c r="G106" t="s">
        <v>262</v>
      </c>
      <c r="H106" t="s">
        <v>263</v>
      </c>
      <c r="I106">
        <v>1</v>
      </c>
      <c r="J106">
        <v>0</v>
      </c>
      <c r="O106">
        <f t="shared" si="78"/>
        <v>54</v>
      </c>
      <c r="P106">
        <f t="shared" si="79"/>
        <v>0</v>
      </c>
      <c r="Q106">
        <f t="shared" si="80"/>
        <v>35.229999999999997</v>
      </c>
      <c r="R106">
        <f t="shared" si="81"/>
        <v>4.96</v>
      </c>
      <c r="S106">
        <f t="shared" si="82"/>
        <v>18.77</v>
      </c>
      <c r="T106">
        <f t="shared" si="83"/>
        <v>0</v>
      </c>
      <c r="U106">
        <f t="shared" si="84"/>
        <v>0.27</v>
      </c>
      <c r="V106">
        <f t="shared" si="85"/>
        <v>0.06</v>
      </c>
      <c r="W106">
        <f t="shared" si="86"/>
        <v>0</v>
      </c>
      <c r="X106">
        <f t="shared" si="87"/>
        <v>22.54</v>
      </c>
      <c r="Y106">
        <f t="shared" si="88"/>
        <v>15.42</v>
      </c>
      <c r="AA106">
        <v>39616881</v>
      </c>
      <c r="AB106">
        <f t="shared" si="89"/>
        <v>8.17</v>
      </c>
      <c r="AC106">
        <f>ROUND(((ES106*0)),2)</f>
        <v>0</v>
      </c>
      <c r="AD106">
        <f>ROUND(((((ET106*0.3))-((EU106*0.3)))+AE106),2)</f>
        <v>5.33</v>
      </c>
      <c r="AE106">
        <f>ROUND(((EU106*0.3)),2)</f>
        <v>0.75</v>
      </c>
      <c r="AF106">
        <f>ROUND(((EV106*0.3)),2)</f>
        <v>2.84</v>
      </c>
      <c r="AG106">
        <f t="shared" si="90"/>
        <v>0</v>
      </c>
      <c r="AH106">
        <f>((EW106*0.3))</f>
        <v>0.27</v>
      </c>
      <c r="AI106">
        <f>((EX106*0.3))</f>
        <v>0.06</v>
      </c>
      <c r="AJ106">
        <f t="shared" si="91"/>
        <v>0</v>
      </c>
      <c r="AK106">
        <v>33.42</v>
      </c>
      <c r="AL106">
        <v>6.2</v>
      </c>
      <c r="AM106">
        <v>17.77</v>
      </c>
      <c r="AN106">
        <v>2.5099999999999998</v>
      </c>
      <c r="AO106">
        <v>9.4499999999999993</v>
      </c>
      <c r="AP106">
        <v>0</v>
      </c>
      <c r="AQ106">
        <v>0.9</v>
      </c>
      <c r="AR106">
        <v>0.2</v>
      </c>
      <c r="AS106">
        <v>0</v>
      </c>
      <c r="AT106">
        <v>95</v>
      </c>
      <c r="AU106">
        <v>65</v>
      </c>
      <c r="AV106">
        <v>1</v>
      </c>
      <c r="AW106">
        <v>1</v>
      </c>
      <c r="AZ106">
        <v>6.61</v>
      </c>
      <c r="BA106">
        <v>6.61</v>
      </c>
      <c r="BB106">
        <v>6.61</v>
      </c>
      <c r="BC106">
        <v>6.61</v>
      </c>
      <c r="BD106" t="s">
        <v>3</v>
      </c>
      <c r="BE106" t="s">
        <v>3</v>
      </c>
      <c r="BF106" t="s">
        <v>3</v>
      </c>
      <c r="BG106" t="s">
        <v>3</v>
      </c>
      <c r="BH106">
        <v>0</v>
      </c>
      <c r="BI106">
        <v>2</v>
      </c>
      <c r="BJ106" t="s">
        <v>264</v>
      </c>
      <c r="BM106">
        <v>108001</v>
      </c>
      <c r="BN106">
        <v>0</v>
      </c>
      <c r="BO106" t="s">
        <v>3</v>
      </c>
      <c r="BP106">
        <v>0</v>
      </c>
      <c r="BQ106">
        <v>3</v>
      </c>
      <c r="BR106">
        <v>0</v>
      </c>
      <c r="BS106">
        <v>6.61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95</v>
      </c>
      <c r="CA106">
        <v>65</v>
      </c>
      <c r="CF106">
        <v>0</v>
      </c>
      <c r="CG106">
        <v>0</v>
      </c>
      <c r="CM106">
        <v>0</v>
      </c>
      <c r="CN106" t="s">
        <v>265</v>
      </c>
      <c r="CO106">
        <v>0</v>
      </c>
      <c r="CP106">
        <f t="shared" si="92"/>
        <v>54</v>
      </c>
      <c r="CQ106">
        <f t="shared" si="93"/>
        <v>0</v>
      </c>
      <c r="CR106">
        <f t="shared" si="94"/>
        <v>35.231300000000005</v>
      </c>
      <c r="CS106">
        <f t="shared" si="95"/>
        <v>4.9575000000000005</v>
      </c>
      <c r="CT106">
        <f t="shared" si="96"/>
        <v>18.772400000000001</v>
      </c>
      <c r="CU106">
        <f t="shared" si="97"/>
        <v>0</v>
      </c>
      <c r="CV106">
        <f t="shared" si="98"/>
        <v>0.27</v>
      </c>
      <c r="CW106">
        <f t="shared" si="99"/>
        <v>0.06</v>
      </c>
      <c r="CX106">
        <f t="shared" si="100"/>
        <v>0</v>
      </c>
      <c r="CY106">
        <f t="shared" si="101"/>
        <v>22.543499999999998</v>
      </c>
      <c r="CZ106">
        <f t="shared" si="102"/>
        <v>15.4245</v>
      </c>
      <c r="DC106" t="s">
        <v>3</v>
      </c>
      <c r="DD106" t="s">
        <v>266</v>
      </c>
      <c r="DE106" t="s">
        <v>267</v>
      </c>
      <c r="DF106" t="s">
        <v>267</v>
      </c>
      <c r="DG106" t="s">
        <v>267</v>
      </c>
      <c r="DH106" t="s">
        <v>3</v>
      </c>
      <c r="DI106" t="s">
        <v>267</v>
      </c>
      <c r="DJ106" t="s">
        <v>267</v>
      </c>
      <c r="DK106" t="s">
        <v>3</v>
      </c>
      <c r="DL106" t="s">
        <v>3</v>
      </c>
      <c r="DM106" t="s">
        <v>3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263</v>
      </c>
      <c r="DW106" t="s">
        <v>263</v>
      </c>
      <c r="DX106">
        <v>1</v>
      </c>
      <c r="EE106">
        <v>39174386</v>
      </c>
      <c r="EF106">
        <v>3</v>
      </c>
      <c r="EG106" t="s">
        <v>268</v>
      </c>
      <c r="EH106">
        <v>0</v>
      </c>
      <c r="EI106" t="s">
        <v>3</v>
      </c>
      <c r="EJ106">
        <v>2</v>
      </c>
      <c r="EK106">
        <v>108001</v>
      </c>
      <c r="EL106" t="s">
        <v>269</v>
      </c>
      <c r="EM106" t="s">
        <v>270</v>
      </c>
      <c r="EO106" t="s">
        <v>271</v>
      </c>
      <c r="EQ106">
        <v>0</v>
      </c>
      <c r="ER106">
        <v>33.42</v>
      </c>
      <c r="ES106">
        <v>6.2</v>
      </c>
      <c r="ET106">
        <v>17.77</v>
      </c>
      <c r="EU106">
        <v>2.5099999999999998</v>
      </c>
      <c r="EV106">
        <v>9.4499999999999993</v>
      </c>
      <c r="EW106">
        <v>0.9</v>
      </c>
      <c r="EX106">
        <v>0.2</v>
      </c>
      <c r="EY106">
        <v>0</v>
      </c>
      <c r="FQ106">
        <v>0</v>
      </c>
      <c r="FR106">
        <f t="shared" si="103"/>
        <v>0</v>
      </c>
      <c r="FS106">
        <v>0</v>
      </c>
      <c r="FX106">
        <v>95</v>
      </c>
      <c r="FY106">
        <v>65</v>
      </c>
      <c r="GA106" t="s">
        <v>3</v>
      </c>
      <c r="GD106">
        <v>0</v>
      </c>
      <c r="GF106">
        <v>-1044823456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04"/>
        <v>0</v>
      </c>
      <c r="GM106">
        <f t="shared" si="105"/>
        <v>91.96</v>
      </c>
      <c r="GN106">
        <f t="shared" si="106"/>
        <v>0</v>
      </c>
      <c r="GO106">
        <f t="shared" si="107"/>
        <v>91.96</v>
      </c>
      <c r="GP106">
        <f t="shared" si="108"/>
        <v>0</v>
      </c>
      <c r="GR106">
        <v>0</v>
      </c>
      <c r="GS106">
        <v>3</v>
      </c>
      <c r="GT106">
        <v>0</v>
      </c>
      <c r="GU106" t="s">
        <v>3</v>
      </c>
      <c r="GV106">
        <f t="shared" si="109"/>
        <v>0</v>
      </c>
      <c r="GW106">
        <v>1</v>
      </c>
      <c r="GX106">
        <f t="shared" si="110"/>
        <v>0</v>
      </c>
      <c r="HA106">
        <v>0</v>
      </c>
      <c r="HB106">
        <v>0</v>
      </c>
      <c r="IK106">
        <v>0</v>
      </c>
    </row>
    <row r="107" spans="1:245" x14ac:dyDescent="0.2">
      <c r="A107">
        <v>17</v>
      </c>
      <c r="B107">
        <v>1</v>
      </c>
      <c r="C107">
        <f>ROW(SmtRes!A119)</f>
        <v>119</v>
      </c>
      <c r="D107">
        <f>ROW(EtalonRes!A114)</f>
        <v>114</v>
      </c>
      <c r="E107" t="s">
        <v>272</v>
      </c>
      <c r="F107" t="s">
        <v>273</v>
      </c>
      <c r="G107" t="s">
        <v>274</v>
      </c>
      <c r="H107" t="s">
        <v>43</v>
      </c>
      <c r="I107">
        <f>ROUND(12/100,9)</f>
        <v>0.12</v>
      </c>
      <c r="J107">
        <v>0</v>
      </c>
      <c r="O107">
        <f t="shared" si="78"/>
        <v>36.130000000000003</v>
      </c>
      <c r="P107">
        <f t="shared" si="79"/>
        <v>0</v>
      </c>
      <c r="Q107">
        <f t="shared" si="80"/>
        <v>0</v>
      </c>
      <c r="R107">
        <f t="shared" si="81"/>
        <v>0</v>
      </c>
      <c r="S107">
        <f t="shared" si="82"/>
        <v>36.130000000000003</v>
      </c>
      <c r="T107">
        <f t="shared" si="83"/>
        <v>0</v>
      </c>
      <c r="U107">
        <f t="shared" si="84"/>
        <v>0.70079999999999998</v>
      </c>
      <c r="V107">
        <f t="shared" si="85"/>
        <v>0</v>
      </c>
      <c r="W107">
        <f t="shared" si="86"/>
        <v>0</v>
      </c>
      <c r="X107">
        <f t="shared" si="87"/>
        <v>30.71</v>
      </c>
      <c r="Y107">
        <f t="shared" si="88"/>
        <v>23.48</v>
      </c>
      <c r="AA107">
        <v>39616881</v>
      </c>
      <c r="AB107">
        <f t="shared" si="89"/>
        <v>45.55</v>
      </c>
      <c r="AC107">
        <f t="shared" ref="AC107:AC129" si="111">ROUND((ES107),2)</f>
        <v>0</v>
      </c>
      <c r="AD107">
        <f t="shared" ref="AD107:AD129" si="112">ROUND((((ET107)-(EU107))+AE107),2)</f>
        <v>0</v>
      </c>
      <c r="AE107">
        <f t="shared" ref="AE107:AE129" si="113">ROUND((EU107),2)</f>
        <v>0</v>
      </c>
      <c r="AF107">
        <f t="shared" ref="AF107:AF129" si="114">ROUND((EV107),2)</f>
        <v>45.55</v>
      </c>
      <c r="AG107">
        <f t="shared" si="90"/>
        <v>0</v>
      </c>
      <c r="AH107">
        <f t="shared" ref="AH107:AH129" si="115">(EW107)</f>
        <v>5.84</v>
      </c>
      <c r="AI107">
        <f t="shared" ref="AI107:AI129" si="116">(EX107)</f>
        <v>0</v>
      </c>
      <c r="AJ107">
        <f t="shared" si="91"/>
        <v>0</v>
      </c>
      <c r="AK107">
        <v>45.55</v>
      </c>
      <c r="AL107">
        <v>0</v>
      </c>
      <c r="AM107">
        <v>0</v>
      </c>
      <c r="AN107">
        <v>0</v>
      </c>
      <c r="AO107">
        <v>45.55</v>
      </c>
      <c r="AP107">
        <v>0</v>
      </c>
      <c r="AQ107">
        <v>5.84</v>
      </c>
      <c r="AR107">
        <v>0</v>
      </c>
      <c r="AS107">
        <v>0</v>
      </c>
      <c r="AT107">
        <v>85</v>
      </c>
      <c r="AU107">
        <v>65</v>
      </c>
      <c r="AV107">
        <v>1</v>
      </c>
      <c r="AW107">
        <v>1</v>
      </c>
      <c r="AZ107">
        <v>6.61</v>
      </c>
      <c r="BA107">
        <v>6.61</v>
      </c>
      <c r="BB107">
        <v>6.61</v>
      </c>
      <c r="BC107">
        <v>6.61</v>
      </c>
      <c r="BD107" t="s">
        <v>3</v>
      </c>
      <c r="BE107" t="s">
        <v>3</v>
      </c>
      <c r="BF107" t="s">
        <v>3</v>
      </c>
      <c r="BG107" t="s">
        <v>3</v>
      </c>
      <c r="BH107">
        <v>0</v>
      </c>
      <c r="BI107">
        <v>1</v>
      </c>
      <c r="BJ107" t="s">
        <v>275</v>
      </c>
      <c r="BM107">
        <v>67001</v>
      </c>
      <c r="BN107">
        <v>0</v>
      </c>
      <c r="BO107" t="s">
        <v>3</v>
      </c>
      <c r="BP107">
        <v>0</v>
      </c>
      <c r="BQ107">
        <v>6</v>
      </c>
      <c r="BR107">
        <v>0</v>
      </c>
      <c r="BS107">
        <v>6.61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85</v>
      </c>
      <c r="CA107">
        <v>65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92"/>
        <v>36.130000000000003</v>
      </c>
      <c r="CQ107">
        <f t="shared" si="93"/>
        <v>0</v>
      </c>
      <c r="CR107">
        <f t="shared" si="94"/>
        <v>0</v>
      </c>
      <c r="CS107">
        <f t="shared" si="95"/>
        <v>0</v>
      </c>
      <c r="CT107">
        <f t="shared" si="96"/>
        <v>301.08549999999997</v>
      </c>
      <c r="CU107">
        <f t="shared" si="97"/>
        <v>0</v>
      </c>
      <c r="CV107">
        <f t="shared" si="98"/>
        <v>5.84</v>
      </c>
      <c r="CW107">
        <f t="shared" si="99"/>
        <v>0</v>
      </c>
      <c r="CX107">
        <f t="shared" si="100"/>
        <v>0</v>
      </c>
      <c r="CY107">
        <f t="shared" si="101"/>
        <v>30.710500000000003</v>
      </c>
      <c r="CZ107">
        <f t="shared" si="102"/>
        <v>23.484500000000004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1013</v>
      </c>
      <c r="DV107" t="s">
        <v>43</v>
      </c>
      <c r="DW107" t="s">
        <v>43</v>
      </c>
      <c r="DX107">
        <v>1</v>
      </c>
      <c r="EE107">
        <v>39174628</v>
      </c>
      <c r="EF107">
        <v>6</v>
      </c>
      <c r="EG107" t="s">
        <v>19</v>
      </c>
      <c r="EH107">
        <v>0</v>
      </c>
      <c r="EI107" t="s">
        <v>3</v>
      </c>
      <c r="EJ107">
        <v>1</v>
      </c>
      <c r="EK107">
        <v>67001</v>
      </c>
      <c r="EL107" t="s">
        <v>258</v>
      </c>
      <c r="EM107" t="s">
        <v>259</v>
      </c>
      <c r="EO107" t="s">
        <v>3</v>
      </c>
      <c r="EQ107">
        <v>0</v>
      </c>
      <c r="ER107">
        <v>45.55</v>
      </c>
      <c r="ES107">
        <v>0</v>
      </c>
      <c r="ET107">
        <v>0</v>
      </c>
      <c r="EU107">
        <v>0</v>
      </c>
      <c r="EV107">
        <v>45.55</v>
      </c>
      <c r="EW107">
        <v>5.84</v>
      </c>
      <c r="EX107">
        <v>0</v>
      </c>
      <c r="EY107">
        <v>0</v>
      </c>
      <c r="FQ107">
        <v>0</v>
      </c>
      <c r="FR107">
        <f t="shared" si="103"/>
        <v>0</v>
      </c>
      <c r="FS107">
        <v>0</v>
      </c>
      <c r="FX107">
        <v>85</v>
      </c>
      <c r="FY107">
        <v>65</v>
      </c>
      <c r="GA107" t="s">
        <v>3</v>
      </c>
      <c r="GD107">
        <v>0</v>
      </c>
      <c r="GF107">
        <v>-729058478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04"/>
        <v>0</v>
      </c>
      <c r="GM107">
        <f t="shared" si="105"/>
        <v>90.32</v>
      </c>
      <c r="GN107">
        <f t="shared" si="106"/>
        <v>90.32</v>
      </c>
      <c r="GO107">
        <f t="shared" si="107"/>
        <v>0</v>
      </c>
      <c r="GP107">
        <f t="shared" si="108"/>
        <v>0</v>
      </c>
      <c r="GR107">
        <v>0</v>
      </c>
      <c r="GS107">
        <v>3</v>
      </c>
      <c r="GT107">
        <v>0</v>
      </c>
      <c r="GU107" t="s">
        <v>3</v>
      </c>
      <c r="GV107">
        <f t="shared" si="109"/>
        <v>0</v>
      </c>
      <c r="GW107">
        <v>1</v>
      </c>
      <c r="GX107">
        <f t="shared" si="110"/>
        <v>0</v>
      </c>
      <c r="HA107">
        <v>0</v>
      </c>
      <c r="HB107">
        <v>0</v>
      </c>
      <c r="IK107">
        <v>0</v>
      </c>
    </row>
    <row r="108" spans="1:245" x14ac:dyDescent="0.2">
      <c r="A108">
        <v>17</v>
      </c>
      <c r="B108">
        <v>1</v>
      </c>
      <c r="C108">
        <f>ROW(SmtRes!A126)</f>
        <v>126</v>
      </c>
      <c r="D108">
        <f>ROW(EtalonRes!A120)</f>
        <v>120</v>
      </c>
      <c r="E108" t="s">
        <v>276</v>
      </c>
      <c r="F108" t="s">
        <v>277</v>
      </c>
      <c r="G108" t="s">
        <v>278</v>
      </c>
      <c r="H108" t="s">
        <v>43</v>
      </c>
      <c r="I108">
        <f>ROUND(39/100,9)</f>
        <v>0.39</v>
      </c>
      <c r="J108">
        <v>0</v>
      </c>
      <c r="O108">
        <f t="shared" si="78"/>
        <v>2816.92</v>
      </c>
      <c r="P108">
        <f t="shared" si="79"/>
        <v>311.23</v>
      </c>
      <c r="Q108">
        <f t="shared" si="80"/>
        <v>91.62</v>
      </c>
      <c r="R108">
        <f t="shared" si="81"/>
        <v>12.94</v>
      </c>
      <c r="S108">
        <f t="shared" si="82"/>
        <v>2414.0700000000002</v>
      </c>
      <c r="T108">
        <f t="shared" si="83"/>
        <v>0</v>
      </c>
      <c r="U108">
        <f t="shared" si="84"/>
        <v>36.816000000000003</v>
      </c>
      <c r="V108">
        <f t="shared" si="85"/>
        <v>0.15600000000000003</v>
      </c>
      <c r="W108">
        <f t="shared" si="86"/>
        <v>0</v>
      </c>
      <c r="X108">
        <f t="shared" si="87"/>
        <v>2305.66</v>
      </c>
      <c r="Y108">
        <f t="shared" si="88"/>
        <v>1577.56</v>
      </c>
      <c r="AA108">
        <v>39616881</v>
      </c>
      <c r="AB108">
        <f t="shared" si="89"/>
        <v>1092.72</v>
      </c>
      <c r="AC108">
        <f t="shared" si="111"/>
        <v>120.73</v>
      </c>
      <c r="AD108">
        <f t="shared" si="112"/>
        <v>35.54</v>
      </c>
      <c r="AE108">
        <f t="shared" si="113"/>
        <v>5.0199999999999996</v>
      </c>
      <c r="AF108">
        <f t="shared" si="114"/>
        <v>936.45</v>
      </c>
      <c r="AG108">
        <f t="shared" si="90"/>
        <v>0</v>
      </c>
      <c r="AH108">
        <f t="shared" si="115"/>
        <v>94.4</v>
      </c>
      <c r="AI108">
        <f t="shared" si="116"/>
        <v>0.4</v>
      </c>
      <c r="AJ108">
        <f t="shared" si="91"/>
        <v>0</v>
      </c>
      <c r="AK108">
        <v>1092.72</v>
      </c>
      <c r="AL108">
        <v>120.73</v>
      </c>
      <c r="AM108">
        <v>35.54</v>
      </c>
      <c r="AN108">
        <v>5.0199999999999996</v>
      </c>
      <c r="AO108">
        <v>936.45</v>
      </c>
      <c r="AP108">
        <v>0</v>
      </c>
      <c r="AQ108">
        <v>94.4</v>
      </c>
      <c r="AR108">
        <v>0.4</v>
      </c>
      <c r="AS108">
        <v>0</v>
      </c>
      <c r="AT108">
        <v>95</v>
      </c>
      <c r="AU108">
        <v>65</v>
      </c>
      <c r="AV108">
        <v>1</v>
      </c>
      <c r="AW108">
        <v>1</v>
      </c>
      <c r="AZ108">
        <v>6.61</v>
      </c>
      <c r="BA108">
        <v>6.61</v>
      </c>
      <c r="BB108">
        <v>6.61</v>
      </c>
      <c r="BC108">
        <v>6.61</v>
      </c>
      <c r="BD108" t="s">
        <v>3</v>
      </c>
      <c r="BE108" t="s">
        <v>3</v>
      </c>
      <c r="BF108" t="s">
        <v>3</v>
      </c>
      <c r="BG108" t="s">
        <v>3</v>
      </c>
      <c r="BH108">
        <v>0</v>
      </c>
      <c r="BI108">
        <v>2</v>
      </c>
      <c r="BJ108" t="s">
        <v>279</v>
      </c>
      <c r="BM108">
        <v>108001</v>
      </c>
      <c r="BN108">
        <v>0</v>
      </c>
      <c r="BO108" t="s">
        <v>3</v>
      </c>
      <c r="BP108">
        <v>0</v>
      </c>
      <c r="BQ108">
        <v>3</v>
      </c>
      <c r="BR108">
        <v>0</v>
      </c>
      <c r="BS108">
        <v>6.61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3</v>
      </c>
      <c r="BZ108">
        <v>95</v>
      </c>
      <c r="CA108">
        <v>65</v>
      </c>
      <c r="CF108">
        <v>0</v>
      </c>
      <c r="CG108">
        <v>0</v>
      </c>
      <c r="CM108">
        <v>0</v>
      </c>
      <c r="CN108" t="s">
        <v>3</v>
      </c>
      <c r="CO108">
        <v>0</v>
      </c>
      <c r="CP108">
        <f t="shared" si="92"/>
        <v>2816.92</v>
      </c>
      <c r="CQ108">
        <f t="shared" si="93"/>
        <v>798.02530000000002</v>
      </c>
      <c r="CR108">
        <f t="shared" si="94"/>
        <v>234.9194</v>
      </c>
      <c r="CS108">
        <f t="shared" si="95"/>
        <v>33.182200000000002</v>
      </c>
      <c r="CT108">
        <f t="shared" si="96"/>
        <v>6189.9345000000003</v>
      </c>
      <c r="CU108">
        <f t="shared" si="97"/>
        <v>0</v>
      </c>
      <c r="CV108">
        <f t="shared" si="98"/>
        <v>94.4</v>
      </c>
      <c r="CW108">
        <f t="shared" si="99"/>
        <v>0.4</v>
      </c>
      <c r="CX108">
        <f t="shared" si="100"/>
        <v>0</v>
      </c>
      <c r="CY108">
        <f t="shared" si="101"/>
        <v>2305.6595000000002</v>
      </c>
      <c r="CZ108">
        <f t="shared" si="102"/>
        <v>1577.5565000000001</v>
      </c>
      <c r="DC108" t="s">
        <v>3</v>
      </c>
      <c r="DD108" t="s">
        <v>3</v>
      </c>
      <c r="DE108" t="s">
        <v>3</v>
      </c>
      <c r="DF108" t="s">
        <v>3</v>
      </c>
      <c r="DG108" t="s">
        <v>3</v>
      </c>
      <c r="DH108" t="s">
        <v>3</v>
      </c>
      <c r="DI108" t="s">
        <v>3</v>
      </c>
      <c r="DJ108" t="s">
        <v>3</v>
      </c>
      <c r="DK108" t="s">
        <v>3</v>
      </c>
      <c r="DL108" t="s">
        <v>3</v>
      </c>
      <c r="DM108" t="s">
        <v>3</v>
      </c>
      <c r="DN108">
        <v>0</v>
      </c>
      <c r="DO108">
        <v>0</v>
      </c>
      <c r="DP108">
        <v>1</v>
      </c>
      <c r="DQ108">
        <v>1</v>
      </c>
      <c r="DU108">
        <v>1013</v>
      </c>
      <c r="DV108" t="s">
        <v>43</v>
      </c>
      <c r="DW108" t="s">
        <v>43</v>
      </c>
      <c r="DX108">
        <v>1</v>
      </c>
      <c r="EE108">
        <v>39174386</v>
      </c>
      <c r="EF108">
        <v>3</v>
      </c>
      <c r="EG108" t="s">
        <v>268</v>
      </c>
      <c r="EH108">
        <v>0</v>
      </c>
      <c r="EI108" t="s">
        <v>3</v>
      </c>
      <c r="EJ108">
        <v>2</v>
      </c>
      <c r="EK108">
        <v>108001</v>
      </c>
      <c r="EL108" t="s">
        <v>269</v>
      </c>
      <c r="EM108" t="s">
        <v>270</v>
      </c>
      <c r="EO108" t="s">
        <v>3</v>
      </c>
      <c r="EQ108">
        <v>0</v>
      </c>
      <c r="ER108">
        <v>1092.72</v>
      </c>
      <c r="ES108">
        <v>120.73</v>
      </c>
      <c r="ET108">
        <v>35.54</v>
      </c>
      <c r="EU108">
        <v>5.0199999999999996</v>
      </c>
      <c r="EV108">
        <v>936.45</v>
      </c>
      <c r="EW108">
        <v>94.4</v>
      </c>
      <c r="EX108">
        <v>0.4</v>
      </c>
      <c r="EY108">
        <v>0</v>
      </c>
      <c r="FQ108">
        <v>0</v>
      </c>
      <c r="FR108">
        <f t="shared" si="103"/>
        <v>0</v>
      </c>
      <c r="FS108">
        <v>0</v>
      </c>
      <c r="FX108">
        <v>95</v>
      </c>
      <c r="FY108">
        <v>65</v>
      </c>
      <c r="GA108" t="s">
        <v>3</v>
      </c>
      <c r="GD108">
        <v>0</v>
      </c>
      <c r="GF108">
        <v>-1013997877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04"/>
        <v>0</v>
      </c>
      <c r="GM108">
        <f t="shared" si="105"/>
        <v>6700.14</v>
      </c>
      <c r="GN108">
        <f t="shared" si="106"/>
        <v>0</v>
      </c>
      <c r="GO108">
        <f t="shared" si="107"/>
        <v>6700.14</v>
      </c>
      <c r="GP108">
        <f t="shared" si="108"/>
        <v>0</v>
      </c>
      <c r="GR108">
        <v>0</v>
      </c>
      <c r="GS108">
        <v>3</v>
      </c>
      <c r="GT108">
        <v>0</v>
      </c>
      <c r="GU108" t="s">
        <v>3</v>
      </c>
      <c r="GV108">
        <f t="shared" si="109"/>
        <v>0</v>
      </c>
      <c r="GW108">
        <v>1</v>
      </c>
      <c r="GX108">
        <f t="shared" si="110"/>
        <v>0</v>
      </c>
      <c r="HA108">
        <v>0</v>
      </c>
      <c r="HB108">
        <v>0</v>
      </c>
      <c r="IK108">
        <v>0</v>
      </c>
    </row>
    <row r="109" spans="1:245" x14ac:dyDescent="0.2">
      <c r="A109">
        <v>18</v>
      </c>
      <c r="B109">
        <v>1</v>
      </c>
      <c r="C109">
        <v>124</v>
      </c>
      <c r="E109" t="s">
        <v>280</v>
      </c>
      <c r="F109" t="s">
        <v>281</v>
      </c>
      <c r="G109" t="s">
        <v>282</v>
      </c>
      <c r="H109" t="s">
        <v>50</v>
      </c>
      <c r="I109">
        <f>I108*J109</f>
        <v>39</v>
      </c>
      <c r="J109">
        <v>100</v>
      </c>
      <c r="O109">
        <f t="shared" si="78"/>
        <v>97191.99</v>
      </c>
      <c r="P109">
        <f t="shared" si="79"/>
        <v>97191.99</v>
      </c>
      <c r="Q109">
        <f t="shared" si="80"/>
        <v>0</v>
      </c>
      <c r="R109">
        <f t="shared" si="81"/>
        <v>0</v>
      </c>
      <c r="S109">
        <f t="shared" si="82"/>
        <v>0</v>
      </c>
      <c r="T109">
        <f t="shared" si="83"/>
        <v>0</v>
      </c>
      <c r="U109">
        <f t="shared" si="84"/>
        <v>0</v>
      </c>
      <c r="V109">
        <f t="shared" si="85"/>
        <v>0</v>
      </c>
      <c r="W109">
        <f t="shared" si="86"/>
        <v>0</v>
      </c>
      <c r="X109">
        <f t="shared" si="87"/>
        <v>0</v>
      </c>
      <c r="Y109">
        <f t="shared" si="88"/>
        <v>0</v>
      </c>
      <c r="AA109">
        <v>39616881</v>
      </c>
      <c r="AB109">
        <f t="shared" si="89"/>
        <v>377.02</v>
      </c>
      <c r="AC109">
        <f t="shared" si="111"/>
        <v>377.02</v>
      </c>
      <c r="AD109">
        <f t="shared" si="112"/>
        <v>0</v>
      </c>
      <c r="AE109">
        <f t="shared" si="113"/>
        <v>0</v>
      </c>
      <c r="AF109">
        <f t="shared" si="114"/>
        <v>0</v>
      </c>
      <c r="AG109">
        <f t="shared" si="90"/>
        <v>0</v>
      </c>
      <c r="AH109">
        <f t="shared" si="115"/>
        <v>0</v>
      </c>
      <c r="AI109">
        <f t="shared" si="116"/>
        <v>0</v>
      </c>
      <c r="AJ109">
        <f t="shared" si="91"/>
        <v>0</v>
      </c>
      <c r="AK109">
        <v>377.02</v>
      </c>
      <c r="AL109">
        <v>377.02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95</v>
      </c>
      <c r="AU109">
        <v>65</v>
      </c>
      <c r="AV109">
        <v>1</v>
      </c>
      <c r="AW109">
        <v>1</v>
      </c>
      <c r="AZ109">
        <v>6.61</v>
      </c>
      <c r="BA109">
        <v>1</v>
      </c>
      <c r="BB109">
        <v>1</v>
      </c>
      <c r="BC109">
        <v>6.61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2</v>
      </c>
      <c r="BJ109" t="s">
        <v>283</v>
      </c>
      <c r="BM109">
        <v>108001</v>
      </c>
      <c r="BN109">
        <v>0</v>
      </c>
      <c r="BO109" t="s">
        <v>3</v>
      </c>
      <c r="BP109">
        <v>0</v>
      </c>
      <c r="BQ109">
        <v>3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95</v>
      </c>
      <c r="CA109">
        <v>65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92"/>
        <v>97191.99</v>
      </c>
      <c r="CQ109">
        <f t="shared" si="93"/>
        <v>2492.1021999999998</v>
      </c>
      <c r="CR109">
        <f t="shared" si="94"/>
        <v>0</v>
      </c>
      <c r="CS109">
        <f t="shared" si="95"/>
        <v>0</v>
      </c>
      <c r="CT109">
        <f t="shared" si="96"/>
        <v>0</v>
      </c>
      <c r="CU109">
        <f t="shared" si="97"/>
        <v>0</v>
      </c>
      <c r="CV109">
        <f t="shared" si="98"/>
        <v>0</v>
      </c>
      <c r="CW109">
        <f t="shared" si="99"/>
        <v>0</v>
      </c>
      <c r="CX109">
        <f t="shared" si="100"/>
        <v>0</v>
      </c>
      <c r="CY109">
        <f t="shared" si="101"/>
        <v>0</v>
      </c>
      <c r="CZ109">
        <f t="shared" si="102"/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1010</v>
      </c>
      <c r="DV109" t="s">
        <v>50</v>
      </c>
      <c r="DW109" t="s">
        <v>50</v>
      </c>
      <c r="DX109">
        <v>1</v>
      </c>
      <c r="EE109">
        <v>39174386</v>
      </c>
      <c r="EF109">
        <v>3</v>
      </c>
      <c r="EG109" t="s">
        <v>268</v>
      </c>
      <c r="EH109">
        <v>0</v>
      </c>
      <c r="EI109" t="s">
        <v>3</v>
      </c>
      <c r="EJ109">
        <v>2</v>
      </c>
      <c r="EK109">
        <v>108001</v>
      </c>
      <c r="EL109" t="s">
        <v>269</v>
      </c>
      <c r="EM109" t="s">
        <v>270</v>
      </c>
      <c r="EO109" t="s">
        <v>3</v>
      </c>
      <c r="EQ109">
        <v>0</v>
      </c>
      <c r="ER109">
        <v>377.02</v>
      </c>
      <c r="ES109">
        <v>377.02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03"/>
        <v>0</v>
      </c>
      <c r="FS109">
        <v>0</v>
      </c>
      <c r="FX109">
        <v>95</v>
      </c>
      <c r="FY109">
        <v>65</v>
      </c>
      <c r="GA109" t="s">
        <v>3</v>
      </c>
      <c r="GD109">
        <v>0</v>
      </c>
      <c r="GF109">
        <v>-547902896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04"/>
        <v>0</v>
      </c>
      <c r="GM109">
        <f t="shared" si="105"/>
        <v>97191.99</v>
      </c>
      <c r="GN109">
        <f t="shared" si="106"/>
        <v>0</v>
      </c>
      <c r="GO109">
        <f t="shared" si="107"/>
        <v>97191.99</v>
      </c>
      <c r="GP109">
        <f t="shared" si="108"/>
        <v>0</v>
      </c>
      <c r="GR109">
        <v>0</v>
      </c>
      <c r="GS109">
        <v>3</v>
      </c>
      <c r="GT109">
        <v>0</v>
      </c>
      <c r="GU109" t="s">
        <v>3</v>
      </c>
      <c r="GV109">
        <f t="shared" si="109"/>
        <v>0</v>
      </c>
      <c r="GW109">
        <v>1</v>
      </c>
      <c r="GX109">
        <f t="shared" si="110"/>
        <v>0</v>
      </c>
      <c r="HA109">
        <v>0</v>
      </c>
      <c r="HB109">
        <v>0</v>
      </c>
      <c r="IK109">
        <v>0</v>
      </c>
    </row>
    <row r="110" spans="1:245" x14ac:dyDescent="0.2">
      <c r="A110">
        <v>17</v>
      </c>
      <c r="B110">
        <v>1</v>
      </c>
      <c r="C110">
        <f>ROW(SmtRes!A130)</f>
        <v>130</v>
      </c>
      <c r="D110">
        <f>ROW(EtalonRes!A123)</f>
        <v>123</v>
      </c>
      <c r="E110" t="s">
        <v>284</v>
      </c>
      <c r="F110" t="s">
        <v>285</v>
      </c>
      <c r="G110" t="s">
        <v>286</v>
      </c>
      <c r="H110" t="s">
        <v>17</v>
      </c>
      <c r="I110">
        <f>ROUND(58/100,9)</f>
        <v>0.57999999999999996</v>
      </c>
      <c r="J110">
        <v>0</v>
      </c>
      <c r="O110">
        <f t="shared" si="78"/>
        <v>599.34</v>
      </c>
      <c r="P110">
        <f t="shared" si="79"/>
        <v>64.37</v>
      </c>
      <c r="Q110">
        <f t="shared" si="80"/>
        <v>0</v>
      </c>
      <c r="R110">
        <f t="shared" si="81"/>
        <v>0</v>
      </c>
      <c r="S110">
        <f t="shared" si="82"/>
        <v>534.97</v>
      </c>
      <c r="T110">
        <f t="shared" si="83"/>
        <v>0</v>
      </c>
      <c r="U110">
        <f t="shared" si="84"/>
        <v>8.8159999999999989</v>
      </c>
      <c r="V110">
        <f t="shared" si="85"/>
        <v>0</v>
      </c>
      <c r="W110">
        <f t="shared" si="86"/>
        <v>0</v>
      </c>
      <c r="X110">
        <f t="shared" si="87"/>
        <v>508.22</v>
      </c>
      <c r="Y110">
        <f t="shared" si="88"/>
        <v>347.73</v>
      </c>
      <c r="AA110">
        <v>39616881</v>
      </c>
      <c r="AB110">
        <f t="shared" si="89"/>
        <v>156.33000000000001</v>
      </c>
      <c r="AC110">
        <f t="shared" si="111"/>
        <v>16.79</v>
      </c>
      <c r="AD110">
        <f t="shared" si="112"/>
        <v>0</v>
      </c>
      <c r="AE110">
        <f t="shared" si="113"/>
        <v>0</v>
      </c>
      <c r="AF110">
        <f t="shared" si="114"/>
        <v>139.54</v>
      </c>
      <c r="AG110">
        <f t="shared" si="90"/>
        <v>0</v>
      </c>
      <c r="AH110">
        <f t="shared" si="115"/>
        <v>15.2</v>
      </c>
      <c r="AI110">
        <f t="shared" si="116"/>
        <v>0</v>
      </c>
      <c r="AJ110">
        <f t="shared" si="91"/>
        <v>0</v>
      </c>
      <c r="AK110">
        <v>156.33000000000001</v>
      </c>
      <c r="AL110">
        <v>16.79</v>
      </c>
      <c r="AM110">
        <v>0</v>
      </c>
      <c r="AN110">
        <v>0</v>
      </c>
      <c r="AO110">
        <v>139.54</v>
      </c>
      <c r="AP110">
        <v>0</v>
      </c>
      <c r="AQ110">
        <v>15.2</v>
      </c>
      <c r="AR110">
        <v>0</v>
      </c>
      <c r="AS110">
        <v>0</v>
      </c>
      <c r="AT110">
        <v>95</v>
      </c>
      <c r="AU110">
        <v>65</v>
      </c>
      <c r="AV110">
        <v>1</v>
      </c>
      <c r="AW110">
        <v>1</v>
      </c>
      <c r="AZ110">
        <v>6.61</v>
      </c>
      <c r="BA110">
        <v>6.61</v>
      </c>
      <c r="BB110">
        <v>6.61</v>
      </c>
      <c r="BC110">
        <v>6.61</v>
      </c>
      <c r="BD110" t="s">
        <v>3</v>
      </c>
      <c r="BE110" t="s">
        <v>3</v>
      </c>
      <c r="BF110" t="s">
        <v>3</v>
      </c>
      <c r="BG110" t="s">
        <v>3</v>
      </c>
      <c r="BH110">
        <v>0</v>
      </c>
      <c r="BI110">
        <v>2</v>
      </c>
      <c r="BJ110" t="s">
        <v>287</v>
      </c>
      <c r="BM110">
        <v>108001</v>
      </c>
      <c r="BN110">
        <v>0</v>
      </c>
      <c r="BO110" t="s">
        <v>3</v>
      </c>
      <c r="BP110">
        <v>0</v>
      </c>
      <c r="BQ110">
        <v>3</v>
      </c>
      <c r="BR110">
        <v>0</v>
      </c>
      <c r="BS110">
        <v>6.61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95</v>
      </c>
      <c r="CA110">
        <v>65</v>
      </c>
      <c r="CF110">
        <v>0</v>
      </c>
      <c r="CG110">
        <v>0</v>
      </c>
      <c r="CM110">
        <v>0</v>
      </c>
      <c r="CN110" t="s">
        <v>3</v>
      </c>
      <c r="CO110">
        <v>0</v>
      </c>
      <c r="CP110">
        <f t="shared" si="92"/>
        <v>599.34</v>
      </c>
      <c r="CQ110">
        <f t="shared" si="93"/>
        <v>110.9819</v>
      </c>
      <c r="CR110">
        <f t="shared" si="94"/>
        <v>0</v>
      </c>
      <c r="CS110">
        <f t="shared" si="95"/>
        <v>0</v>
      </c>
      <c r="CT110">
        <f t="shared" si="96"/>
        <v>922.35939999999994</v>
      </c>
      <c r="CU110">
        <f t="shared" si="97"/>
        <v>0</v>
      </c>
      <c r="CV110">
        <f t="shared" si="98"/>
        <v>15.2</v>
      </c>
      <c r="CW110">
        <f t="shared" si="99"/>
        <v>0</v>
      </c>
      <c r="CX110">
        <f t="shared" si="100"/>
        <v>0</v>
      </c>
      <c r="CY110">
        <f t="shared" si="101"/>
        <v>508.22149999999999</v>
      </c>
      <c r="CZ110">
        <f t="shared" si="102"/>
        <v>347.73050000000001</v>
      </c>
      <c r="DC110" t="s">
        <v>3</v>
      </c>
      <c r="DD110" t="s">
        <v>3</v>
      </c>
      <c r="DE110" t="s">
        <v>3</v>
      </c>
      <c r="DF110" t="s">
        <v>3</v>
      </c>
      <c r="DG110" t="s">
        <v>3</v>
      </c>
      <c r="DH110" t="s">
        <v>3</v>
      </c>
      <c r="DI110" t="s">
        <v>3</v>
      </c>
      <c r="DJ110" t="s">
        <v>3</v>
      </c>
      <c r="DK110" t="s">
        <v>3</v>
      </c>
      <c r="DL110" t="s">
        <v>3</v>
      </c>
      <c r="DM110" t="s">
        <v>3</v>
      </c>
      <c r="DN110">
        <v>0</v>
      </c>
      <c r="DO110">
        <v>0</v>
      </c>
      <c r="DP110">
        <v>1</v>
      </c>
      <c r="DQ110">
        <v>1</v>
      </c>
      <c r="DU110">
        <v>1003</v>
      </c>
      <c r="DV110" t="s">
        <v>17</v>
      </c>
      <c r="DW110" t="s">
        <v>17</v>
      </c>
      <c r="DX110">
        <v>100</v>
      </c>
      <c r="EE110">
        <v>39174386</v>
      </c>
      <c r="EF110">
        <v>3</v>
      </c>
      <c r="EG110" t="s">
        <v>268</v>
      </c>
      <c r="EH110">
        <v>0</v>
      </c>
      <c r="EI110" t="s">
        <v>3</v>
      </c>
      <c r="EJ110">
        <v>2</v>
      </c>
      <c r="EK110">
        <v>108001</v>
      </c>
      <c r="EL110" t="s">
        <v>269</v>
      </c>
      <c r="EM110" t="s">
        <v>270</v>
      </c>
      <c r="EO110" t="s">
        <v>3</v>
      </c>
      <c r="EQ110">
        <v>0</v>
      </c>
      <c r="ER110">
        <v>156.33000000000001</v>
      </c>
      <c r="ES110">
        <v>16.79</v>
      </c>
      <c r="ET110">
        <v>0</v>
      </c>
      <c r="EU110">
        <v>0</v>
      </c>
      <c r="EV110">
        <v>139.54</v>
      </c>
      <c r="EW110">
        <v>15.2</v>
      </c>
      <c r="EX110">
        <v>0</v>
      </c>
      <c r="EY110">
        <v>0</v>
      </c>
      <c r="FQ110">
        <v>0</v>
      </c>
      <c r="FR110">
        <f t="shared" si="103"/>
        <v>0</v>
      </c>
      <c r="FS110">
        <v>0</v>
      </c>
      <c r="FX110">
        <v>95</v>
      </c>
      <c r="FY110">
        <v>65</v>
      </c>
      <c r="GA110" t="s">
        <v>3</v>
      </c>
      <c r="GD110">
        <v>0</v>
      </c>
      <c r="GF110">
        <v>-596386547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04"/>
        <v>0</v>
      </c>
      <c r="GM110">
        <f t="shared" si="105"/>
        <v>1455.29</v>
      </c>
      <c r="GN110">
        <f t="shared" si="106"/>
        <v>0</v>
      </c>
      <c r="GO110">
        <f t="shared" si="107"/>
        <v>1455.29</v>
      </c>
      <c r="GP110">
        <f t="shared" si="108"/>
        <v>0</v>
      </c>
      <c r="GR110">
        <v>0</v>
      </c>
      <c r="GS110">
        <v>3</v>
      </c>
      <c r="GT110">
        <v>0</v>
      </c>
      <c r="GU110" t="s">
        <v>3</v>
      </c>
      <c r="GV110">
        <f t="shared" si="109"/>
        <v>0</v>
      </c>
      <c r="GW110">
        <v>1</v>
      </c>
      <c r="GX110">
        <f t="shared" si="110"/>
        <v>0</v>
      </c>
      <c r="HA110">
        <v>0</v>
      </c>
      <c r="HB110">
        <v>0</v>
      </c>
      <c r="IK110">
        <v>0</v>
      </c>
    </row>
    <row r="111" spans="1:245" x14ac:dyDescent="0.2">
      <c r="A111">
        <v>18</v>
      </c>
      <c r="B111">
        <v>1</v>
      </c>
      <c r="C111">
        <v>129</v>
      </c>
      <c r="E111" t="s">
        <v>288</v>
      </c>
      <c r="F111" t="s">
        <v>289</v>
      </c>
      <c r="G111" t="s">
        <v>290</v>
      </c>
      <c r="H111" t="s">
        <v>291</v>
      </c>
      <c r="I111">
        <f>I110*J111</f>
        <v>5.8</v>
      </c>
      <c r="J111">
        <v>10</v>
      </c>
      <c r="O111">
        <f t="shared" si="78"/>
        <v>812.77</v>
      </c>
      <c r="P111">
        <f t="shared" si="79"/>
        <v>812.77</v>
      </c>
      <c r="Q111">
        <f t="shared" si="80"/>
        <v>0</v>
      </c>
      <c r="R111">
        <f t="shared" si="81"/>
        <v>0</v>
      </c>
      <c r="S111">
        <f t="shared" si="82"/>
        <v>0</v>
      </c>
      <c r="T111">
        <f t="shared" si="83"/>
        <v>0</v>
      </c>
      <c r="U111">
        <f t="shared" si="84"/>
        <v>0</v>
      </c>
      <c r="V111">
        <f t="shared" si="85"/>
        <v>0</v>
      </c>
      <c r="W111">
        <f t="shared" si="86"/>
        <v>0</v>
      </c>
      <c r="X111">
        <f t="shared" si="87"/>
        <v>0</v>
      </c>
      <c r="Y111">
        <f t="shared" si="88"/>
        <v>0</v>
      </c>
      <c r="AA111">
        <v>39616881</v>
      </c>
      <c r="AB111">
        <f t="shared" si="89"/>
        <v>21.2</v>
      </c>
      <c r="AC111">
        <f t="shared" si="111"/>
        <v>21.2</v>
      </c>
      <c r="AD111">
        <f t="shared" si="112"/>
        <v>0</v>
      </c>
      <c r="AE111">
        <f t="shared" si="113"/>
        <v>0</v>
      </c>
      <c r="AF111">
        <f t="shared" si="114"/>
        <v>0</v>
      </c>
      <c r="AG111">
        <f t="shared" si="90"/>
        <v>0</v>
      </c>
      <c r="AH111">
        <f t="shared" si="115"/>
        <v>0</v>
      </c>
      <c r="AI111">
        <f t="shared" si="116"/>
        <v>0</v>
      </c>
      <c r="AJ111">
        <f t="shared" si="91"/>
        <v>0</v>
      </c>
      <c r="AK111">
        <v>21.2</v>
      </c>
      <c r="AL111">
        <v>21.2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95</v>
      </c>
      <c r="AU111">
        <v>65</v>
      </c>
      <c r="AV111">
        <v>1</v>
      </c>
      <c r="AW111">
        <v>1</v>
      </c>
      <c r="AZ111">
        <v>6.61</v>
      </c>
      <c r="BA111">
        <v>1</v>
      </c>
      <c r="BB111">
        <v>1</v>
      </c>
      <c r="BC111">
        <v>6.61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2</v>
      </c>
      <c r="BJ111" t="s">
        <v>292</v>
      </c>
      <c r="BM111">
        <v>108001</v>
      </c>
      <c r="BN111">
        <v>0</v>
      </c>
      <c r="BO111" t="s">
        <v>3</v>
      </c>
      <c r="BP111">
        <v>0</v>
      </c>
      <c r="BQ111">
        <v>3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95</v>
      </c>
      <c r="CA111">
        <v>65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92"/>
        <v>812.77</v>
      </c>
      <c r="CQ111">
        <f t="shared" si="93"/>
        <v>140.13200000000001</v>
      </c>
      <c r="CR111">
        <f t="shared" si="94"/>
        <v>0</v>
      </c>
      <c r="CS111">
        <f t="shared" si="95"/>
        <v>0</v>
      </c>
      <c r="CT111">
        <f t="shared" si="96"/>
        <v>0</v>
      </c>
      <c r="CU111">
        <f t="shared" si="97"/>
        <v>0</v>
      </c>
      <c r="CV111">
        <f t="shared" si="98"/>
        <v>0</v>
      </c>
      <c r="CW111">
        <f t="shared" si="99"/>
        <v>0</v>
      </c>
      <c r="CX111">
        <f t="shared" si="100"/>
        <v>0</v>
      </c>
      <c r="CY111">
        <f t="shared" si="101"/>
        <v>0</v>
      </c>
      <c r="CZ111">
        <f t="shared" si="102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1003</v>
      </c>
      <c r="DV111" t="s">
        <v>291</v>
      </c>
      <c r="DW111" t="s">
        <v>291</v>
      </c>
      <c r="DX111">
        <v>10</v>
      </c>
      <c r="EE111">
        <v>39174386</v>
      </c>
      <c r="EF111">
        <v>3</v>
      </c>
      <c r="EG111" t="s">
        <v>268</v>
      </c>
      <c r="EH111">
        <v>0</v>
      </c>
      <c r="EI111" t="s">
        <v>3</v>
      </c>
      <c r="EJ111">
        <v>2</v>
      </c>
      <c r="EK111">
        <v>108001</v>
      </c>
      <c r="EL111" t="s">
        <v>269</v>
      </c>
      <c r="EM111" t="s">
        <v>270</v>
      </c>
      <c r="EO111" t="s">
        <v>3</v>
      </c>
      <c r="EQ111">
        <v>0</v>
      </c>
      <c r="ER111">
        <v>21.2</v>
      </c>
      <c r="ES111">
        <v>21.2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03"/>
        <v>0</v>
      </c>
      <c r="FS111">
        <v>0</v>
      </c>
      <c r="FX111">
        <v>95</v>
      </c>
      <c r="FY111">
        <v>65</v>
      </c>
      <c r="GA111" t="s">
        <v>3</v>
      </c>
      <c r="GD111">
        <v>0</v>
      </c>
      <c r="GF111">
        <v>-595881781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04"/>
        <v>0</v>
      </c>
      <c r="GM111">
        <f t="shared" si="105"/>
        <v>812.77</v>
      </c>
      <c r="GN111">
        <f t="shared" si="106"/>
        <v>0</v>
      </c>
      <c r="GO111">
        <f t="shared" si="107"/>
        <v>812.77</v>
      </c>
      <c r="GP111">
        <f t="shared" si="108"/>
        <v>0</v>
      </c>
      <c r="GR111">
        <v>0</v>
      </c>
      <c r="GS111">
        <v>3</v>
      </c>
      <c r="GT111">
        <v>0</v>
      </c>
      <c r="GU111" t="s">
        <v>3</v>
      </c>
      <c r="GV111">
        <f t="shared" si="109"/>
        <v>0</v>
      </c>
      <c r="GW111">
        <v>1</v>
      </c>
      <c r="GX111">
        <f t="shared" si="110"/>
        <v>0</v>
      </c>
      <c r="HA111">
        <v>0</v>
      </c>
      <c r="HB111">
        <v>0</v>
      </c>
      <c r="IK111">
        <v>0</v>
      </c>
    </row>
    <row r="112" spans="1:245" x14ac:dyDescent="0.2">
      <c r="A112">
        <v>17</v>
      </c>
      <c r="B112">
        <v>1</v>
      </c>
      <c r="C112">
        <f>ROW(SmtRes!A141)</f>
        <v>141</v>
      </c>
      <c r="D112">
        <f>ROW(EtalonRes!A133)</f>
        <v>133</v>
      </c>
      <c r="E112" t="s">
        <v>293</v>
      </c>
      <c r="F112" t="s">
        <v>294</v>
      </c>
      <c r="G112" t="s">
        <v>295</v>
      </c>
      <c r="H112" t="s">
        <v>17</v>
      </c>
      <c r="I112">
        <f>ROUND(72/100,9)</f>
        <v>0.72</v>
      </c>
      <c r="J112">
        <v>0</v>
      </c>
      <c r="O112">
        <f t="shared" si="78"/>
        <v>326.95999999999998</v>
      </c>
      <c r="P112">
        <f t="shared" si="79"/>
        <v>68.91</v>
      </c>
      <c r="Q112">
        <f t="shared" si="80"/>
        <v>16.899999999999999</v>
      </c>
      <c r="R112">
        <f t="shared" si="81"/>
        <v>2.38</v>
      </c>
      <c r="S112">
        <f t="shared" si="82"/>
        <v>241.15</v>
      </c>
      <c r="T112">
        <f t="shared" si="83"/>
        <v>0</v>
      </c>
      <c r="U112">
        <f t="shared" si="84"/>
        <v>3.8807999999999998</v>
      </c>
      <c r="V112">
        <f t="shared" si="85"/>
        <v>2.8799999999999999E-2</v>
      </c>
      <c r="W112">
        <f t="shared" si="86"/>
        <v>0</v>
      </c>
      <c r="X112">
        <f t="shared" si="87"/>
        <v>231.35</v>
      </c>
      <c r="Y112">
        <f t="shared" si="88"/>
        <v>158.29</v>
      </c>
      <c r="AA112">
        <v>39616881</v>
      </c>
      <c r="AB112">
        <f t="shared" si="89"/>
        <v>68.7</v>
      </c>
      <c r="AC112">
        <f t="shared" si="111"/>
        <v>14.48</v>
      </c>
      <c r="AD112">
        <f t="shared" si="112"/>
        <v>3.55</v>
      </c>
      <c r="AE112">
        <f t="shared" si="113"/>
        <v>0.5</v>
      </c>
      <c r="AF112">
        <f t="shared" si="114"/>
        <v>50.67</v>
      </c>
      <c r="AG112">
        <f t="shared" si="90"/>
        <v>0</v>
      </c>
      <c r="AH112">
        <f t="shared" si="115"/>
        <v>5.39</v>
      </c>
      <c r="AI112">
        <f t="shared" si="116"/>
        <v>0.04</v>
      </c>
      <c r="AJ112">
        <f t="shared" si="91"/>
        <v>0</v>
      </c>
      <c r="AK112">
        <v>68.7</v>
      </c>
      <c r="AL112">
        <v>14.48</v>
      </c>
      <c r="AM112">
        <v>3.55</v>
      </c>
      <c r="AN112">
        <v>0.5</v>
      </c>
      <c r="AO112">
        <v>50.67</v>
      </c>
      <c r="AP112">
        <v>0</v>
      </c>
      <c r="AQ112">
        <v>5.39</v>
      </c>
      <c r="AR112">
        <v>0.04</v>
      </c>
      <c r="AS112">
        <v>0</v>
      </c>
      <c r="AT112">
        <v>95</v>
      </c>
      <c r="AU112">
        <v>65</v>
      </c>
      <c r="AV112">
        <v>1</v>
      </c>
      <c r="AW112">
        <v>1</v>
      </c>
      <c r="AZ112">
        <v>6.61</v>
      </c>
      <c r="BA112">
        <v>6.61</v>
      </c>
      <c r="BB112">
        <v>6.61</v>
      </c>
      <c r="BC112">
        <v>6.61</v>
      </c>
      <c r="BD112" t="s">
        <v>3</v>
      </c>
      <c r="BE112" t="s">
        <v>3</v>
      </c>
      <c r="BF112" t="s">
        <v>3</v>
      </c>
      <c r="BG112" t="s">
        <v>3</v>
      </c>
      <c r="BH112">
        <v>0</v>
      </c>
      <c r="BI112">
        <v>2</v>
      </c>
      <c r="BJ112" t="s">
        <v>296</v>
      </c>
      <c r="BM112">
        <v>108001</v>
      </c>
      <c r="BN112">
        <v>0</v>
      </c>
      <c r="BO112" t="s">
        <v>3</v>
      </c>
      <c r="BP112">
        <v>0</v>
      </c>
      <c r="BQ112">
        <v>3</v>
      </c>
      <c r="BR112">
        <v>0</v>
      </c>
      <c r="BS112">
        <v>6.61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95</v>
      </c>
      <c r="CA112">
        <v>65</v>
      </c>
      <c r="CF112">
        <v>0</v>
      </c>
      <c r="CG112">
        <v>0</v>
      </c>
      <c r="CM112">
        <v>0</v>
      </c>
      <c r="CN112" t="s">
        <v>3</v>
      </c>
      <c r="CO112">
        <v>0</v>
      </c>
      <c r="CP112">
        <f t="shared" si="92"/>
        <v>326.96000000000004</v>
      </c>
      <c r="CQ112">
        <f t="shared" si="93"/>
        <v>95.712800000000001</v>
      </c>
      <c r="CR112">
        <f t="shared" si="94"/>
        <v>23.465499999999999</v>
      </c>
      <c r="CS112">
        <f t="shared" si="95"/>
        <v>3.3050000000000002</v>
      </c>
      <c r="CT112">
        <f t="shared" si="96"/>
        <v>334.92870000000005</v>
      </c>
      <c r="CU112">
        <f t="shared" si="97"/>
        <v>0</v>
      </c>
      <c r="CV112">
        <f t="shared" si="98"/>
        <v>5.39</v>
      </c>
      <c r="CW112">
        <f t="shared" si="99"/>
        <v>0.04</v>
      </c>
      <c r="CX112">
        <f t="shared" si="100"/>
        <v>0</v>
      </c>
      <c r="CY112">
        <f t="shared" si="101"/>
        <v>231.3535</v>
      </c>
      <c r="CZ112">
        <f t="shared" si="102"/>
        <v>158.2945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0</v>
      </c>
      <c r="DO112">
        <v>0</v>
      </c>
      <c r="DP112">
        <v>1</v>
      </c>
      <c r="DQ112">
        <v>1</v>
      </c>
      <c r="DU112">
        <v>1003</v>
      </c>
      <c r="DV112" t="s">
        <v>17</v>
      </c>
      <c r="DW112" t="s">
        <v>17</v>
      </c>
      <c r="DX112">
        <v>100</v>
      </c>
      <c r="EE112">
        <v>39174386</v>
      </c>
      <c r="EF112">
        <v>3</v>
      </c>
      <c r="EG112" t="s">
        <v>268</v>
      </c>
      <c r="EH112">
        <v>0</v>
      </c>
      <c r="EI112" t="s">
        <v>3</v>
      </c>
      <c r="EJ112">
        <v>2</v>
      </c>
      <c r="EK112">
        <v>108001</v>
      </c>
      <c r="EL112" t="s">
        <v>269</v>
      </c>
      <c r="EM112" t="s">
        <v>270</v>
      </c>
      <c r="EO112" t="s">
        <v>3</v>
      </c>
      <c r="EQ112">
        <v>0</v>
      </c>
      <c r="ER112">
        <v>68.7</v>
      </c>
      <c r="ES112">
        <v>14.48</v>
      </c>
      <c r="ET112">
        <v>3.55</v>
      </c>
      <c r="EU112">
        <v>0.5</v>
      </c>
      <c r="EV112">
        <v>50.67</v>
      </c>
      <c r="EW112">
        <v>5.39</v>
      </c>
      <c r="EX112">
        <v>0.04</v>
      </c>
      <c r="EY112">
        <v>0</v>
      </c>
      <c r="FQ112">
        <v>0</v>
      </c>
      <c r="FR112">
        <f t="shared" si="103"/>
        <v>0</v>
      </c>
      <c r="FS112">
        <v>0</v>
      </c>
      <c r="FX112">
        <v>95</v>
      </c>
      <c r="FY112">
        <v>65</v>
      </c>
      <c r="GA112" t="s">
        <v>3</v>
      </c>
      <c r="GD112">
        <v>0</v>
      </c>
      <c r="GF112">
        <v>-1215790049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04"/>
        <v>0</v>
      </c>
      <c r="GM112">
        <f t="shared" si="105"/>
        <v>716.6</v>
      </c>
      <c r="GN112">
        <f t="shared" si="106"/>
        <v>0</v>
      </c>
      <c r="GO112">
        <f t="shared" si="107"/>
        <v>716.6</v>
      </c>
      <c r="GP112">
        <f t="shared" si="108"/>
        <v>0</v>
      </c>
      <c r="GR112">
        <v>0</v>
      </c>
      <c r="GS112">
        <v>3</v>
      </c>
      <c r="GT112">
        <v>0</v>
      </c>
      <c r="GU112" t="s">
        <v>3</v>
      </c>
      <c r="GV112">
        <f t="shared" si="109"/>
        <v>0</v>
      </c>
      <c r="GW112">
        <v>1</v>
      </c>
      <c r="GX112">
        <f t="shared" si="110"/>
        <v>0</v>
      </c>
      <c r="HA112">
        <v>0</v>
      </c>
      <c r="HB112">
        <v>0</v>
      </c>
      <c r="IK112">
        <v>0</v>
      </c>
    </row>
    <row r="113" spans="1:245" x14ac:dyDescent="0.2">
      <c r="A113">
        <v>18</v>
      </c>
      <c r="B113">
        <v>1</v>
      </c>
      <c r="C113">
        <v>140</v>
      </c>
      <c r="E113" t="s">
        <v>297</v>
      </c>
      <c r="F113" t="s">
        <v>298</v>
      </c>
      <c r="G113" t="s">
        <v>299</v>
      </c>
      <c r="H113" t="s">
        <v>300</v>
      </c>
      <c r="I113">
        <f>I112*J113</f>
        <v>7.1999999999999995E-2</v>
      </c>
      <c r="J113">
        <v>9.9999999999999992E-2</v>
      </c>
      <c r="O113">
        <f t="shared" si="78"/>
        <v>2299.6999999999998</v>
      </c>
      <c r="P113">
        <f t="shared" si="79"/>
        <v>2299.6999999999998</v>
      </c>
      <c r="Q113">
        <f t="shared" si="80"/>
        <v>0</v>
      </c>
      <c r="R113">
        <f t="shared" si="81"/>
        <v>0</v>
      </c>
      <c r="S113">
        <f t="shared" si="82"/>
        <v>0</v>
      </c>
      <c r="T113">
        <f t="shared" si="83"/>
        <v>0</v>
      </c>
      <c r="U113">
        <f t="shared" si="84"/>
        <v>0</v>
      </c>
      <c r="V113">
        <f t="shared" si="85"/>
        <v>0</v>
      </c>
      <c r="W113">
        <f t="shared" si="86"/>
        <v>0</v>
      </c>
      <c r="X113">
        <f t="shared" si="87"/>
        <v>0</v>
      </c>
      <c r="Y113">
        <f t="shared" si="88"/>
        <v>0</v>
      </c>
      <c r="AA113">
        <v>39616881</v>
      </c>
      <c r="AB113">
        <f t="shared" si="89"/>
        <v>4832.12</v>
      </c>
      <c r="AC113">
        <f t="shared" si="111"/>
        <v>4832.12</v>
      </c>
      <c r="AD113">
        <f t="shared" si="112"/>
        <v>0</v>
      </c>
      <c r="AE113">
        <f t="shared" si="113"/>
        <v>0</v>
      </c>
      <c r="AF113">
        <f t="shared" si="114"/>
        <v>0</v>
      </c>
      <c r="AG113">
        <f t="shared" si="90"/>
        <v>0</v>
      </c>
      <c r="AH113">
        <f t="shared" si="115"/>
        <v>0</v>
      </c>
      <c r="AI113">
        <f t="shared" si="116"/>
        <v>0</v>
      </c>
      <c r="AJ113">
        <f t="shared" si="91"/>
        <v>0</v>
      </c>
      <c r="AK113">
        <v>4832.12</v>
      </c>
      <c r="AL113">
        <v>4832.12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65</v>
      </c>
      <c r="AV113">
        <v>1</v>
      </c>
      <c r="AW113">
        <v>1</v>
      </c>
      <c r="AZ113">
        <v>6.61</v>
      </c>
      <c r="BA113">
        <v>1</v>
      </c>
      <c r="BB113">
        <v>1</v>
      </c>
      <c r="BC113">
        <v>6.61</v>
      </c>
      <c r="BD113" t="s">
        <v>3</v>
      </c>
      <c r="BE113" t="s">
        <v>3</v>
      </c>
      <c r="BF113" t="s">
        <v>3</v>
      </c>
      <c r="BG113" t="s">
        <v>3</v>
      </c>
      <c r="BH113">
        <v>3</v>
      </c>
      <c r="BI113">
        <v>2</v>
      </c>
      <c r="BJ113" t="s">
        <v>301</v>
      </c>
      <c r="BM113">
        <v>108001</v>
      </c>
      <c r="BN113">
        <v>0</v>
      </c>
      <c r="BO113" t="s">
        <v>3</v>
      </c>
      <c r="BP113">
        <v>0</v>
      </c>
      <c r="BQ113">
        <v>3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95</v>
      </c>
      <c r="CA113">
        <v>65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92"/>
        <v>2299.6999999999998</v>
      </c>
      <c r="CQ113">
        <f t="shared" si="93"/>
        <v>31940.313200000001</v>
      </c>
      <c r="CR113">
        <f t="shared" si="94"/>
        <v>0</v>
      </c>
      <c r="CS113">
        <f t="shared" si="95"/>
        <v>0</v>
      </c>
      <c r="CT113">
        <f t="shared" si="96"/>
        <v>0</v>
      </c>
      <c r="CU113">
        <f t="shared" si="97"/>
        <v>0</v>
      </c>
      <c r="CV113">
        <f t="shared" si="98"/>
        <v>0</v>
      </c>
      <c r="CW113">
        <f t="shared" si="99"/>
        <v>0</v>
      </c>
      <c r="CX113">
        <f t="shared" si="100"/>
        <v>0</v>
      </c>
      <c r="CY113">
        <f t="shared" si="101"/>
        <v>0</v>
      </c>
      <c r="CZ113">
        <f t="shared" si="102"/>
        <v>0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1013</v>
      </c>
      <c r="DV113" t="s">
        <v>300</v>
      </c>
      <c r="DW113" t="s">
        <v>302</v>
      </c>
      <c r="DX113">
        <v>1</v>
      </c>
      <c r="EE113">
        <v>39174386</v>
      </c>
      <c r="EF113">
        <v>3</v>
      </c>
      <c r="EG113" t="s">
        <v>268</v>
      </c>
      <c r="EH113">
        <v>0</v>
      </c>
      <c r="EI113" t="s">
        <v>3</v>
      </c>
      <c r="EJ113">
        <v>2</v>
      </c>
      <c r="EK113">
        <v>108001</v>
      </c>
      <c r="EL113" t="s">
        <v>269</v>
      </c>
      <c r="EM113" t="s">
        <v>270</v>
      </c>
      <c r="EO113" t="s">
        <v>3</v>
      </c>
      <c r="EQ113">
        <v>0</v>
      </c>
      <c r="ER113">
        <v>4832.12</v>
      </c>
      <c r="ES113">
        <v>4832.12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03"/>
        <v>0</v>
      </c>
      <c r="FS113">
        <v>0</v>
      </c>
      <c r="FX113">
        <v>95</v>
      </c>
      <c r="FY113">
        <v>65</v>
      </c>
      <c r="GA113" t="s">
        <v>3</v>
      </c>
      <c r="GD113">
        <v>0</v>
      </c>
      <c r="GF113">
        <v>-1479501953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04"/>
        <v>0</v>
      </c>
      <c r="GM113">
        <f t="shared" si="105"/>
        <v>2299.6999999999998</v>
      </c>
      <c r="GN113">
        <f t="shared" si="106"/>
        <v>0</v>
      </c>
      <c r="GO113">
        <f t="shared" si="107"/>
        <v>2299.6999999999998</v>
      </c>
      <c r="GP113">
        <f t="shared" si="108"/>
        <v>0</v>
      </c>
      <c r="GR113">
        <v>0</v>
      </c>
      <c r="GS113">
        <v>3</v>
      </c>
      <c r="GT113">
        <v>0</v>
      </c>
      <c r="GU113" t="s">
        <v>3</v>
      </c>
      <c r="GV113">
        <f t="shared" si="109"/>
        <v>0</v>
      </c>
      <c r="GW113">
        <v>1</v>
      </c>
      <c r="GX113">
        <f t="shared" si="110"/>
        <v>0</v>
      </c>
      <c r="HA113">
        <v>0</v>
      </c>
      <c r="HB113">
        <v>0</v>
      </c>
      <c r="IK113">
        <v>0</v>
      </c>
    </row>
    <row r="114" spans="1:245" x14ac:dyDescent="0.2">
      <c r="A114">
        <v>17</v>
      </c>
      <c r="B114">
        <v>1</v>
      </c>
      <c r="C114">
        <f>ROW(SmtRes!A148)</f>
        <v>148</v>
      </c>
      <c r="D114">
        <f>ROW(EtalonRes!A139)</f>
        <v>139</v>
      </c>
      <c r="E114" t="s">
        <v>303</v>
      </c>
      <c r="F114" t="s">
        <v>304</v>
      </c>
      <c r="G114" t="s">
        <v>305</v>
      </c>
      <c r="H114" t="s">
        <v>17</v>
      </c>
      <c r="I114">
        <f>ROUND(42/100,9)</f>
        <v>0.42</v>
      </c>
      <c r="J114">
        <v>0</v>
      </c>
      <c r="O114">
        <f t="shared" si="78"/>
        <v>574.01</v>
      </c>
      <c r="P114">
        <f t="shared" si="79"/>
        <v>143.06</v>
      </c>
      <c r="Q114">
        <f t="shared" si="80"/>
        <v>0.86</v>
      </c>
      <c r="R114">
        <f t="shared" si="81"/>
        <v>0.39</v>
      </c>
      <c r="S114">
        <f t="shared" si="82"/>
        <v>430.09</v>
      </c>
      <c r="T114">
        <f t="shared" si="83"/>
        <v>0</v>
      </c>
      <c r="U114">
        <f t="shared" si="84"/>
        <v>6.8417999999999992</v>
      </c>
      <c r="V114">
        <f t="shared" si="85"/>
        <v>4.1999999999999997E-3</v>
      </c>
      <c r="W114">
        <f t="shared" si="86"/>
        <v>0</v>
      </c>
      <c r="X114">
        <f t="shared" si="87"/>
        <v>408.96</v>
      </c>
      <c r="Y114">
        <f t="shared" si="88"/>
        <v>279.81</v>
      </c>
      <c r="AA114">
        <v>39616881</v>
      </c>
      <c r="AB114">
        <f t="shared" si="89"/>
        <v>206.76</v>
      </c>
      <c r="AC114">
        <f t="shared" si="111"/>
        <v>51.53</v>
      </c>
      <c r="AD114">
        <f t="shared" si="112"/>
        <v>0.31</v>
      </c>
      <c r="AE114">
        <f t="shared" si="113"/>
        <v>0.14000000000000001</v>
      </c>
      <c r="AF114">
        <f t="shared" si="114"/>
        <v>154.91999999999999</v>
      </c>
      <c r="AG114">
        <f t="shared" si="90"/>
        <v>0</v>
      </c>
      <c r="AH114">
        <f t="shared" si="115"/>
        <v>16.29</v>
      </c>
      <c r="AI114">
        <f t="shared" si="116"/>
        <v>0.01</v>
      </c>
      <c r="AJ114">
        <f t="shared" si="91"/>
        <v>0</v>
      </c>
      <c r="AK114">
        <v>206.76</v>
      </c>
      <c r="AL114">
        <v>51.53</v>
      </c>
      <c r="AM114">
        <v>0.31</v>
      </c>
      <c r="AN114">
        <v>0.14000000000000001</v>
      </c>
      <c r="AO114">
        <v>154.91999999999999</v>
      </c>
      <c r="AP114">
        <v>0</v>
      </c>
      <c r="AQ114">
        <v>16.29</v>
      </c>
      <c r="AR114">
        <v>0.01</v>
      </c>
      <c r="AS114">
        <v>0</v>
      </c>
      <c r="AT114">
        <v>95</v>
      </c>
      <c r="AU114">
        <v>65</v>
      </c>
      <c r="AV114">
        <v>1</v>
      </c>
      <c r="AW114">
        <v>1</v>
      </c>
      <c r="AZ114">
        <v>6.61</v>
      </c>
      <c r="BA114">
        <v>6.61</v>
      </c>
      <c r="BB114">
        <v>6.61</v>
      </c>
      <c r="BC114">
        <v>6.61</v>
      </c>
      <c r="BD114" t="s">
        <v>3</v>
      </c>
      <c r="BE114" t="s">
        <v>3</v>
      </c>
      <c r="BF114" t="s">
        <v>3</v>
      </c>
      <c r="BG114" t="s">
        <v>3</v>
      </c>
      <c r="BH114">
        <v>0</v>
      </c>
      <c r="BI114">
        <v>2</v>
      </c>
      <c r="BJ114" t="s">
        <v>306</v>
      </c>
      <c r="BM114">
        <v>108001</v>
      </c>
      <c r="BN114">
        <v>0</v>
      </c>
      <c r="BO114" t="s">
        <v>3</v>
      </c>
      <c r="BP114">
        <v>0</v>
      </c>
      <c r="BQ114">
        <v>3</v>
      </c>
      <c r="BR114">
        <v>0</v>
      </c>
      <c r="BS114">
        <v>6.61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3</v>
      </c>
      <c r="BZ114">
        <v>95</v>
      </c>
      <c r="CA114">
        <v>65</v>
      </c>
      <c r="CF114">
        <v>0</v>
      </c>
      <c r="CG114">
        <v>0</v>
      </c>
      <c r="CM114">
        <v>0</v>
      </c>
      <c r="CN114" t="s">
        <v>3</v>
      </c>
      <c r="CO114">
        <v>0</v>
      </c>
      <c r="CP114">
        <f t="shared" si="92"/>
        <v>574.01</v>
      </c>
      <c r="CQ114">
        <f t="shared" si="93"/>
        <v>340.61330000000004</v>
      </c>
      <c r="CR114">
        <f t="shared" si="94"/>
        <v>2.0491000000000001</v>
      </c>
      <c r="CS114">
        <f t="shared" si="95"/>
        <v>0.92540000000000011</v>
      </c>
      <c r="CT114">
        <f t="shared" si="96"/>
        <v>1024.0211999999999</v>
      </c>
      <c r="CU114">
        <f t="shared" si="97"/>
        <v>0</v>
      </c>
      <c r="CV114">
        <f t="shared" si="98"/>
        <v>16.29</v>
      </c>
      <c r="CW114">
        <f t="shared" si="99"/>
        <v>0.01</v>
      </c>
      <c r="CX114">
        <f t="shared" si="100"/>
        <v>0</v>
      </c>
      <c r="CY114">
        <f t="shared" si="101"/>
        <v>408.95599999999996</v>
      </c>
      <c r="CZ114">
        <f t="shared" si="102"/>
        <v>279.81199999999995</v>
      </c>
      <c r="DC114" t="s">
        <v>3</v>
      </c>
      <c r="DD114" t="s">
        <v>3</v>
      </c>
      <c r="DE114" t="s">
        <v>3</v>
      </c>
      <c r="DF114" t="s">
        <v>3</v>
      </c>
      <c r="DG114" t="s">
        <v>3</v>
      </c>
      <c r="DH114" t="s">
        <v>3</v>
      </c>
      <c r="DI114" t="s">
        <v>3</v>
      </c>
      <c r="DJ114" t="s">
        <v>3</v>
      </c>
      <c r="DK114" t="s">
        <v>3</v>
      </c>
      <c r="DL114" t="s">
        <v>3</v>
      </c>
      <c r="DM114" t="s">
        <v>3</v>
      </c>
      <c r="DN114">
        <v>0</v>
      </c>
      <c r="DO114">
        <v>0</v>
      </c>
      <c r="DP114">
        <v>1</v>
      </c>
      <c r="DQ114">
        <v>1</v>
      </c>
      <c r="DU114">
        <v>1003</v>
      </c>
      <c r="DV114" t="s">
        <v>17</v>
      </c>
      <c r="DW114" t="s">
        <v>17</v>
      </c>
      <c r="DX114">
        <v>100</v>
      </c>
      <c r="EE114">
        <v>39174386</v>
      </c>
      <c r="EF114">
        <v>3</v>
      </c>
      <c r="EG114" t="s">
        <v>268</v>
      </c>
      <c r="EH114">
        <v>0</v>
      </c>
      <c r="EI114" t="s">
        <v>3</v>
      </c>
      <c r="EJ114">
        <v>2</v>
      </c>
      <c r="EK114">
        <v>108001</v>
      </c>
      <c r="EL114" t="s">
        <v>269</v>
      </c>
      <c r="EM114" t="s">
        <v>270</v>
      </c>
      <c r="EO114" t="s">
        <v>3</v>
      </c>
      <c r="EQ114">
        <v>0</v>
      </c>
      <c r="ER114">
        <v>206.76</v>
      </c>
      <c r="ES114">
        <v>51.53</v>
      </c>
      <c r="ET114">
        <v>0.31</v>
      </c>
      <c r="EU114">
        <v>0.14000000000000001</v>
      </c>
      <c r="EV114">
        <v>154.91999999999999</v>
      </c>
      <c r="EW114">
        <v>16.29</v>
      </c>
      <c r="EX114">
        <v>0.01</v>
      </c>
      <c r="EY114">
        <v>0</v>
      </c>
      <c r="FQ114">
        <v>0</v>
      </c>
      <c r="FR114">
        <f t="shared" si="103"/>
        <v>0</v>
      </c>
      <c r="FS114">
        <v>0</v>
      </c>
      <c r="FX114">
        <v>95</v>
      </c>
      <c r="FY114">
        <v>65</v>
      </c>
      <c r="GA114" t="s">
        <v>3</v>
      </c>
      <c r="GD114">
        <v>0</v>
      </c>
      <c r="GF114">
        <v>-1776686347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04"/>
        <v>0</v>
      </c>
      <c r="GM114">
        <f t="shared" si="105"/>
        <v>1262.78</v>
      </c>
      <c r="GN114">
        <f t="shared" si="106"/>
        <v>0</v>
      </c>
      <c r="GO114">
        <f t="shared" si="107"/>
        <v>1262.78</v>
      </c>
      <c r="GP114">
        <f t="shared" si="108"/>
        <v>0</v>
      </c>
      <c r="GR114">
        <v>0</v>
      </c>
      <c r="GS114">
        <v>3</v>
      </c>
      <c r="GT114">
        <v>0</v>
      </c>
      <c r="GU114" t="s">
        <v>3</v>
      </c>
      <c r="GV114">
        <f t="shared" si="109"/>
        <v>0</v>
      </c>
      <c r="GW114">
        <v>1</v>
      </c>
      <c r="GX114">
        <f t="shared" si="110"/>
        <v>0</v>
      </c>
      <c r="HA114">
        <v>0</v>
      </c>
      <c r="HB114">
        <v>0</v>
      </c>
      <c r="IK114">
        <v>0</v>
      </c>
    </row>
    <row r="115" spans="1:245" x14ac:dyDescent="0.2">
      <c r="A115">
        <v>18</v>
      </c>
      <c r="B115">
        <v>1</v>
      </c>
      <c r="C115">
        <v>147</v>
      </c>
      <c r="E115" t="s">
        <v>307</v>
      </c>
      <c r="F115" t="s">
        <v>308</v>
      </c>
      <c r="G115" t="s">
        <v>309</v>
      </c>
      <c r="H115" t="s">
        <v>17</v>
      </c>
      <c r="I115">
        <f>I114*J115</f>
        <v>0.42</v>
      </c>
      <c r="J115">
        <v>1</v>
      </c>
      <c r="O115">
        <f t="shared" si="78"/>
        <v>7942.71</v>
      </c>
      <c r="P115">
        <f t="shared" si="79"/>
        <v>7942.71</v>
      </c>
      <c r="Q115">
        <f t="shared" si="80"/>
        <v>0</v>
      </c>
      <c r="R115">
        <f t="shared" si="81"/>
        <v>0</v>
      </c>
      <c r="S115">
        <f t="shared" si="82"/>
        <v>0</v>
      </c>
      <c r="T115">
        <f t="shared" si="83"/>
        <v>0</v>
      </c>
      <c r="U115">
        <f t="shared" si="84"/>
        <v>0</v>
      </c>
      <c r="V115">
        <f t="shared" si="85"/>
        <v>0</v>
      </c>
      <c r="W115">
        <f t="shared" si="86"/>
        <v>0</v>
      </c>
      <c r="X115">
        <f t="shared" si="87"/>
        <v>0</v>
      </c>
      <c r="Y115">
        <f t="shared" si="88"/>
        <v>0</v>
      </c>
      <c r="AA115">
        <v>39616881</v>
      </c>
      <c r="AB115">
        <f t="shared" si="89"/>
        <v>2861</v>
      </c>
      <c r="AC115">
        <f t="shared" si="111"/>
        <v>2861</v>
      </c>
      <c r="AD115">
        <f t="shared" si="112"/>
        <v>0</v>
      </c>
      <c r="AE115">
        <f t="shared" si="113"/>
        <v>0</v>
      </c>
      <c r="AF115">
        <f t="shared" si="114"/>
        <v>0</v>
      </c>
      <c r="AG115">
        <f t="shared" si="90"/>
        <v>0</v>
      </c>
      <c r="AH115">
        <f t="shared" si="115"/>
        <v>0</v>
      </c>
      <c r="AI115">
        <f t="shared" si="116"/>
        <v>0</v>
      </c>
      <c r="AJ115">
        <f t="shared" si="91"/>
        <v>0</v>
      </c>
      <c r="AK115">
        <v>2861</v>
      </c>
      <c r="AL115">
        <v>2861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95</v>
      </c>
      <c r="AU115">
        <v>65</v>
      </c>
      <c r="AV115">
        <v>1</v>
      </c>
      <c r="AW115">
        <v>1</v>
      </c>
      <c r="AZ115">
        <v>6.61</v>
      </c>
      <c r="BA115">
        <v>1</v>
      </c>
      <c r="BB115">
        <v>1</v>
      </c>
      <c r="BC115">
        <v>6.61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2</v>
      </c>
      <c r="BJ115" t="s">
        <v>310</v>
      </c>
      <c r="BM115">
        <v>108001</v>
      </c>
      <c r="BN115">
        <v>0</v>
      </c>
      <c r="BO115" t="s">
        <v>3</v>
      </c>
      <c r="BP115">
        <v>0</v>
      </c>
      <c r="BQ115">
        <v>3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95</v>
      </c>
      <c r="CA115">
        <v>65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92"/>
        <v>7942.71</v>
      </c>
      <c r="CQ115">
        <f t="shared" si="93"/>
        <v>18911.21</v>
      </c>
      <c r="CR115">
        <f t="shared" si="94"/>
        <v>0</v>
      </c>
      <c r="CS115">
        <f t="shared" si="95"/>
        <v>0</v>
      </c>
      <c r="CT115">
        <f t="shared" si="96"/>
        <v>0</v>
      </c>
      <c r="CU115">
        <f t="shared" si="97"/>
        <v>0</v>
      </c>
      <c r="CV115">
        <f t="shared" si="98"/>
        <v>0</v>
      </c>
      <c r="CW115">
        <f t="shared" si="99"/>
        <v>0</v>
      </c>
      <c r="CX115">
        <f t="shared" si="100"/>
        <v>0</v>
      </c>
      <c r="CY115">
        <f t="shared" si="101"/>
        <v>0</v>
      </c>
      <c r="CZ115">
        <f t="shared" si="102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1003</v>
      </c>
      <c r="DV115" t="s">
        <v>17</v>
      </c>
      <c r="DW115" t="s">
        <v>17</v>
      </c>
      <c r="DX115">
        <v>100</v>
      </c>
      <c r="EE115">
        <v>39174386</v>
      </c>
      <c r="EF115">
        <v>3</v>
      </c>
      <c r="EG115" t="s">
        <v>268</v>
      </c>
      <c r="EH115">
        <v>0</v>
      </c>
      <c r="EI115" t="s">
        <v>3</v>
      </c>
      <c r="EJ115">
        <v>2</v>
      </c>
      <c r="EK115">
        <v>108001</v>
      </c>
      <c r="EL115" t="s">
        <v>269</v>
      </c>
      <c r="EM115" t="s">
        <v>270</v>
      </c>
      <c r="EO115" t="s">
        <v>3</v>
      </c>
      <c r="EQ115">
        <v>0</v>
      </c>
      <c r="ER115">
        <v>2861</v>
      </c>
      <c r="ES115">
        <v>2861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03"/>
        <v>0</v>
      </c>
      <c r="FS115">
        <v>0</v>
      </c>
      <c r="FX115">
        <v>95</v>
      </c>
      <c r="FY115">
        <v>65</v>
      </c>
      <c r="GA115" t="s">
        <v>3</v>
      </c>
      <c r="GD115">
        <v>0</v>
      </c>
      <c r="GF115">
        <v>294537720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04"/>
        <v>0</v>
      </c>
      <c r="GM115">
        <f t="shared" si="105"/>
        <v>7942.71</v>
      </c>
      <c r="GN115">
        <f t="shared" si="106"/>
        <v>0</v>
      </c>
      <c r="GO115">
        <f t="shared" si="107"/>
        <v>7942.71</v>
      </c>
      <c r="GP115">
        <f t="shared" si="108"/>
        <v>0</v>
      </c>
      <c r="GR115">
        <v>0</v>
      </c>
      <c r="GS115">
        <v>3</v>
      </c>
      <c r="GT115">
        <v>0</v>
      </c>
      <c r="GU115" t="s">
        <v>3</v>
      </c>
      <c r="GV115">
        <f t="shared" si="109"/>
        <v>0</v>
      </c>
      <c r="GW115">
        <v>1</v>
      </c>
      <c r="GX115">
        <f t="shared" si="110"/>
        <v>0</v>
      </c>
      <c r="HA115">
        <v>0</v>
      </c>
      <c r="HB115">
        <v>0</v>
      </c>
      <c r="IK115">
        <v>0</v>
      </c>
    </row>
    <row r="116" spans="1:245" x14ac:dyDescent="0.2">
      <c r="A116">
        <v>17</v>
      </c>
      <c r="B116">
        <v>1</v>
      </c>
      <c r="C116">
        <f>ROW(SmtRes!A157)</f>
        <v>157</v>
      </c>
      <c r="D116">
        <f>ROW(EtalonRes!A147)</f>
        <v>147</v>
      </c>
      <c r="E116" t="s">
        <v>311</v>
      </c>
      <c r="F116" t="s">
        <v>312</v>
      </c>
      <c r="G116" t="s">
        <v>313</v>
      </c>
      <c r="H116" t="s">
        <v>17</v>
      </c>
      <c r="I116">
        <f>ROUND(48/100,9)</f>
        <v>0.48</v>
      </c>
      <c r="J116">
        <v>0</v>
      </c>
      <c r="O116">
        <f t="shared" si="78"/>
        <v>160.93</v>
      </c>
      <c r="P116">
        <f t="shared" si="79"/>
        <v>43.15</v>
      </c>
      <c r="Q116">
        <f t="shared" si="80"/>
        <v>5.65</v>
      </c>
      <c r="R116">
        <f t="shared" si="81"/>
        <v>0.82</v>
      </c>
      <c r="S116">
        <f t="shared" si="82"/>
        <v>112.13</v>
      </c>
      <c r="T116">
        <f t="shared" si="83"/>
        <v>0</v>
      </c>
      <c r="U116">
        <f t="shared" si="84"/>
        <v>1.8047999999999997</v>
      </c>
      <c r="V116">
        <f t="shared" si="85"/>
        <v>9.5999999999999992E-3</v>
      </c>
      <c r="W116">
        <f t="shared" si="86"/>
        <v>0</v>
      </c>
      <c r="X116">
        <f t="shared" si="87"/>
        <v>107.3</v>
      </c>
      <c r="Y116">
        <f t="shared" si="88"/>
        <v>73.42</v>
      </c>
      <c r="AA116">
        <v>39616881</v>
      </c>
      <c r="AB116">
        <f t="shared" si="89"/>
        <v>50.72</v>
      </c>
      <c r="AC116">
        <f t="shared" si="111"/>
        <v>13.6</v>
      </c>
      <c r="AD116">
        <f t="shared" si="112"/>
        <v>1.78</v>
      </c>
      <c r="AE116">
        <f t="shared" si="113"/>
        <v>0.26</v>
      </c>
      <c r="AF116">
        <f t="shared" si="114"/>
        <v>35.340000000000003</v>
      </c>
      <c r="AG116">
        <f t="shared" si="90"/>
        <v>0</v>
      </c>
      <c r="AH116">
        <f t="shared" si="115"/>
        <v>3.76</v>
      </c>
      <c r="AI116">
        <f t="shared" si="116"/>
        <v>0.02</v>
      </c>
      <c r="AJ116">
        <f t="shared" si="91"/>
        <v>0</v>
      </c>
      <c r="AK116">
        <v>50.72</v>
      </c>
      <c r="AL116">
        <v>13.6</v>
      </c>
      <c r="AM116">
        <v>1.78</v>
      </c>
      <c r="AN116">
        <v>0.26</v>
      </c>
      <c r="AO116">
        <v>35.340000000000003</v>
      </c>
      <c r="AP116">
        <v>0</v>
      </c>
      <c r="AQ116">
        <v>3.76</v>
      </c>
      <c r="AR116">
        <v>0.02</v>
      </c>
      <c r="AS116">
        <v>0</v>
      </c>
      <c r="AT116">
        <v>95</v>
      </c>
      <c r="AU116">
        <v>65</v>
      </c>
      <c r="AV116">
        <v>1</v>
      </c>
      <c r="AW116">
        <v>1</v>
      </c>
      <c r="AZ116">
        <v>6.61</v>
      </c>
      <c r="BA116">
        <v>6.61</v>
      </c>
      <c r="BB116">
        <v>6.61</v>
      </c>
      <c r="BC116">
        <v>6.61</v>
      </c>
      <c r="BD116" t="s">
        <v>3</v>
      </c>
      <c r="BE116" t="s">
        <v>3</v>
      </c>
      <c r="BF116" t="s">
        <v>3</v>
      </c>
      <c r="BG116" t="s">
        <v>3</v>
      </c>
      <c r="BH116">
        <v>0</v>
      </c>
      <c r="BI116">
        <v>2</v>
      </c>
      <c r="BJ116" t="s">
        <v>314</v>
      </c>
      <c r="BM116">
        <v>108001</v>
      </c>
      <c r="BN116">
        <v>0</v>
      </c>
      <c r="BO116" t="s">
        <v>3</v>
      </c>
      <c r="BP116">
        <v>0</v>
      </c>
      <c r="BQ116">
        <v>3</v>
      </c>
      <c r="BR116">
        <v>0</v>
      </c>
      <c r="BS116">
        <v>6.61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95</v>
      </c>
      <c r="CA116">
        <v>65</v>
      </c>
      <c r="CF116">
        <v>0</v>
      </c>
      <c r="CG116">
        <v>0</v>
      </c>
      <c r="CM116">
        <v>0</v>
      </c>
      <c r="CN116" t="s">
        <v>3</v>
      </c>
      <c r="CO116">
        <v>0</v>
      </c>
      <c r="CP116">
        <f t="shared" si="92"/>
        <v>160.93</v>
      </c>
      <c r="CQ116">
        <f t="shared" si="93"/>
        <v>89.896000000000001</v>
      </c>
      <c r="CR116">
        <f t="shared" si="94"/>
        <v>11.7658</v>
      </c>
      <c r="CS116">
        <f t="shared" si="95"/>
        <v>1.7186000000000001</v>
      </c>
      <c r="CT116">
        <f t="shared" si="96"/>
        <v>233.59740000000002</v>
      </c>
      <c r="CU116">
        <f t="shared" si="97"/>
        <v>0</v>
      </c>
      <c r="CV116">
        <f t="shared" si="98"/>
        <v>3.76</v>
      </c>
      <c r="CW116">
        <f t="shared" si="99"/>
        <v>0.02</v>
      </c>
      <c r="CX116">
        <f t="shared" si="100"/>
        <v>0</v>
      </c>
      <c r="CY116">
        <f t="shared" si="101"/>
        <v>107.30249999999998</v>
      </c>
      <c r="CZ116">
        <f t="shared" si="102"/>
        <v>73.41749999999999</v>
      </c>
      <c r="DC116" t="s">
        <v>3</v>
      </c>
      <c r="DD116" t="s">
        <v>3</v>
      </c>
      <c r="DE116" t="s">
        <v>3</v>
      </c>
      <c r="DF116" t="s">
        <v>3</v>
      </c>
      <c r="DG116" t="s">
        <v>3</v>
      </c>
      <c r="DH116" t="s">
        <v>3</v>
      </c>
      <c r="DI116" t="s">
        <v>3</v>
      </c>
      <c r="DJ116" t="s">
        <v>3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1003</v>
      </c>
      <c r="DV116" t="s">
        <v>17</v>
      </c>
      <c r="DW116" t="s">
        <v>17</v>
      </c>
      <c r="DX116">
        <v>100</v>
      </c>
      <c r="EE116">
        <v>39174386</v>
      </c>
      <c r="EF116">
        <v>3</v>
      </c>
      <c r="EG116" t="s">
        <v>268</v>
      </c>
      <c r="EH116">
        <v>0</v>
      </c>
      <c r="EI116" t="s">
        <v>3</v>
      </c>
      <c r="EJ116">
        <v>2</v>
      </c>
      <c r="EK116">
        <v>108001</v>
      </c>
      <c r="EL116" t="s">
        <v>269</v>
      </c>
      <c r="EM116" t="s">
        <v>270</v>
      </c>
      <c r="EO116" t="s">
        <v>3</v>
      </c>
      <c r="EQ116">
        <v>0</v>
      </c>
      <c r="ER116">
        <v>50.72</v>
      </c>
      <c r="ES116">
        <v>13.6</v>
      </c>
      <c r="ET116">
        <v>1.78</v>
      </c>
      <c r="EU116">
        <v>0.26</v>
      </c>
      <c r="EV116">
        <v>35.340000000000003</v>
      </c>
      <c r="EW116">
        <v>3.76</v>
      </c>
      <c r="EX116">
        <v>0.02</v>
      </c>
      <c r="EY116">
        <v>0</v>
      </c>
      <c r="FQ116">
        <v>0</v>
      </c>
      <c r="FR116">
        <f t="shared" si="103"/>
        <v>0</v>
      </c>
      <c r="FS116">
        <v>0</v>
      </c>
      <c r="FX116">
        <v>95</v>
      </c>
      <c r="FY116">
        <v>65</v>
      </c>
      <c r="GA116" t="s">
        <v>3</v>
      </c>
      <c r="GD116">
        <v>0</v>
      </c>
      <c r="GF116">
        <v>-349670202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04"/>
        <v>0</v>
      </c>
      <c r="GM116">
        <f t="shared" si="105"/>
        <v>341.65</v>
      </c>
      <c r="GN116">
        <f t="shared" si="106"/>
        <v>0</v>
      </c>
      <c r="GO116">
        <f t="shared" si="107"/>
        <v>341.65</v>
      </c>
      <c r="GP116">
        <f t="shared" si="108"/>
        <v>0</v>
      </c>
      <c r="GR116">
        <v>0</v>
      </c>
      <c r="GS116">
        <v>3</v>
      </c>
      <c r="GT116">
        <v>0</v>
      </c>
      <c r="GU116" t="s">
        <v>3</v>
      </c>
      <c r="GV116">
        <f t="shared" si="109"/>
        <v>0</v>
      </c>
      <c r="GW116">
        <v>1</v>
      </c>
      <c r="GX116">
        <f t="shared" si="110"/>
        <v>0</v>
      </c>
      <c r="HA116">
        <v>0</v>
      </c>
      <c r="HB116">
        <v>0</v>
      </c>
      <c r="IK116">
        <v>0</v>
      </c>
    </row>
    <row r="117" spans="1:245" x14ac:dyDescent="0.2">
      <c r="A117">
        <v>18</v>
      </c>
      <c r="B117">
        <v>1</v>
      </c>
      <c r="C117">
        <v>156</v>
      </c>
      <c r="E117" t="s">
        <v>315</v>
      </c>
      <c r="F117" t="s">
        <v>316</v>
      </c>
      <c r="G117" t="s">
        <v>317</v>
      </c>
      <c r="H117" t="s">
        <v>300</v>
      </c>
      <c r="I117">
        <f>I116*J117</f>
        <v>4.8000000000000001E-2</v>
      </c>
      <c r="J117">
        <v>0.1</v>
      </c>
      <c r="O117">
        <f t="shared" si="78"/>
        <v>2195.71</v>
      </c>
      <c r="P117">
        <f t="shared" si="79"/>
        <v>2195.71</v>
      </c>
      <c r="Q117">
        <f t="shared" si="80"/>
        <v>0</v>
      </c>
      <c r="R117">
        <f t="shared" si="81"/>
        <v>0</v>
      </c>
      <c r="S117">
        <f t="shared" si="82"/>
        <v>0</v>
      </c>
      <c r="T117">
        <f t="shared" si="83"/>
        <v>0</v>
      </c>
      <c r="U117">
        <f t="shared" si="84"/>
        <v>0</v>
      </c>
      <c r="V117">
        <f t="shared" si="85"/>
        <v>0</v>
      </c>
      <c r="W117">
        <f t="shared" si="86"/>
        <v>0</v>
      </c>
      <c r="X117">
        <f t="shared" si="87"/>
        <v>0</v>
      </c>
      <c r="Y117">
        <f t="shared" si="88"/>
        <v>0</v>
      </c>
      <c r="AA117">
        <v>39616881</v>
      </c>
      <c r="AB117">
        <f t="shared" si="89"/>
        <v>6920.41</v>
      </c>
      <c r="AC117">
        <f t="shared" si="111"/>
        <v>6920.41</v>
      </c>
      <c r="AD117">
        <f t="shared" si="112"/>
        <v>0</v>
      </c>
      <c r="AE117">
        <f t="shared" si="113"/>
        <v>0</v>
      </c>
      <c r="AF117">
        <f t="shared" si="114"/>
        <v>0</v>
      </c>
      <c r="AG117">
        <f t="shared" si="90"/>
        <v>0</v>
      </c>
      <c r="AH117">
        <f t="shared" si="115"/>
        <v>0</v>
      </c>
      <c r="AI117">
        <f t="shared" si="116"/>
        <v>0</v>
      </c>
      <c r="AJ117">
        <f t="shared" si="91"/>
        <v>0</v>
      </c>
      <c r="AK117">
        <v>6920.41</v>
      </c>
      <c r="AL117">
        <v>6920.41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95</v>
      </c>
      <c r="AU117">
        <v>65</v>
      </c>
      <c r="AV117">
        <v>1</v>
      </c>
      <c r="AW117">
        <v>1</v>
      </c>
      <c r="AZ117">
        <v>6.61</v>
      </c>
      <c r="BA117">
        <v>1</v>
      </c>
      <c r="BB117">
        <v>1</v>
      </c>
      <c r="BC117">
        <v>6.61</v>
      </c>
      <c r="BD117" t="s">
        <v>3</v>
      </c>
      <c r="BE117" t="s">
        <v>3</v>
      </c>
      <c r="BF117" t="s">
        <v>3</v>
      </c>
      <c r="BG117" t="s">
        <v>3</v>
      </c>
      <c r="BH117">
        <v>3</v>
      </c>
      <c r="BI117">
        <v>2</v>
      </c>
      <c r="BJ117" t="s">
        <v>318</v>
      </c>
      <c r="BM117">
        <v>108001</v>
      </c>
      <c r="BN117">
        <v>0</v>
      </c>
      <c r="BO117" t="s">
        <v>3</v>
      </c>
      <c r="BP117">
        <v>0</v>
      </c>
      <c r="BQ117">
        <v>3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95</v>
      </c>
      <c r="CA117">
        <v>65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92"/>
        <v>2195.71</v>
      </c>
      <c r="CQ117">
        <f t="shared" si="93"/>
        <v>45743.910100000001</v>
      </c>
      <c r="CR117">
        <f t="shared" si="94"/>
        <v>0</v>
      </c>
      <c r="CS117">
        <f t="shared" si="95"/>
        <v>0</v>
      </c>
      <c r="CT117">
        <f t="shared" si="96"/>
        <v>0</v>
      </c>
      <c r="CU117">
        <f t="shared" si="97"/>
        <v>0</v>
      </c>
      <c r="CV117">
        <f t="shared" si="98"/>
        <v>0</v>
      </c>
      <c r="CW117">
        <f t="shared" si="99"/>
        <v>0</v>
      </c>
      <c r="CX117">
        <f t="shared" si="100"/>
        <v>0</v>
      </c>
      <c r="CY117">
        <f t="shared" si="101"/>
        <v>0</v>
      </c>
      <c r="CZ117">
        <f t="shared" si="102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300</v>
      </c>
      <c r="DW117" t="s">
        <v>302</v>
      </c>
      <c r="DX117">
        <v>1</v>
      </c>
      <c r="EE117">
        <v>39174386</v>
      </c>
      <c r="EF117">
        <v>3</v>
      </c>
      <c r="EG117" t="s">
        <v>268</v>
      </c>
      <c r="EH117">
        <v>0</v>
      </c>
      <c r="EI117" t="s">
        <v>3</v>
      </c>
      <c r="EJ117">
        <v>2</v>
      </c>
      <c r="EK117">
        <v>108001</v>
      </c>
      <c r="EL117" t="s">
        <v>269</v>
      </c>
      <c r="EM117" t="s">
        <v>270</v>
      </c>
      <c r="EO117" t="s">
        <v>3</v>
      </c>
      <c r="EQ117">
        <v>0</v>
      </c>
      <c r="ER117">
        <v>6920.41</v>
      </c>
      <c r="ES117">
        <v>6920.41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03"/>
        <v>0</v>
      </c>
      <c r="FS117">
        <v>0</v>
      </c>
      <c r="FX117">
        <v>95</v>
      </c>
      <c r="FY117">
        <v>65</v>
      </c>
      <c r="GA117" t="s">
        <v>3</v>
      </c>
      <c r="GD117">
        <v>0</v>
      </c>
      <c r="GF117">
        <v>559331636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04"/>
        <v>0</v>
      </c>
      <c r="GM117">
        <f t="shared" si="105"/>
        <v>2195.71</v>
      </c>
      <c r="GN117">
        <f t="shared" si="106"/>
        <v>0</v>
      </c>
      <c r="GO117">
        <f t="shared" si="107"/>
        <v>2195.71</v>
      </c>
      <c r="GP117">
        <f t="shared" si="108"/>
        <v>0</v>
      </c>
      <c r="GR117">
        <v>0</v>
      </c>
      <c r="GS117">
        <v>3</v>
      </c>
      <c r="GT117">
        <v>0</v>
      </c>
      <c r="GU117" t="s">
        <v>3</v>
      </c>
      <c r="GV117">
        <f t="shared" si="109"/>
        <v>0</v>
      </c>
      <c r="GW117">
        <v>1</v>
      </c>
      <c r="GX117">
        <f t="shared" si="110"/>
        <v>0</v>
      </c>
      <c r="HA117">
        <v>0</v>
      </c>
      <c r="HB117">
        <v>0</v>
      </c>
      <c r="IK117">
        <v>0</v>
      </c>
    </row>
    <row r="118" spans="1:245" x14ac:dyDescent="0.2">
      <c r="A118">
        <v>17</v>
      </c>
      <c r="B118">
        <v>1</v>
      </c>
      <c r="C118">
        <f>ROW(SmtRes!A167)</f>
        <v>167</v>
      </c>
      <c r="D118">
        <f>ROW(EtalonRes!A156)</f>
        <v>156</v>
      </c>
      <c r="E118" t="s">
        <v>319</v>
      </c>
      <c r="F118" t="s">
        <v>320</v>
      </c>
      <c r="G118" t="s">
        <v>321</v>
      </c>
      <c r="H118" t="s">
        <v>43</v>
      </c>
      <c r="I118">
        <f>ROUND(8/100,9)</f>
        <v>0.08</v>
      </c>
      <c r="J118">
        <v>0</v>
      </c>
      <c r="O118">
        <f t="shared" si="78"/>
        <v>240.03</v>
      </c>
      <c r="P118">
        <f t="shared" si="79"/>
        <v>56.27</v>
      </c>
      <c r="Q118">
        <f t="shared" si="80"/>
        <v>2.4700000000000002</v>
      </c>
      <c r="R118">
        <f t="shared" si="81"/>
        <v>0.34</v>
      </c>
      <c r="S118">
        <f t="shared" si="82"/>
        <v>181.29</v>
      </c>
      <c r="T118">
        <f t="shared" si="83"/>
        <v>0</v>
      </c>
      <c r="U118">
        <f t="shared" si="84"/>
        <v>2.7648000000000001</v>
      </c>
      <c r="V118">
        <f t="shared" si="85"/>
        <v>4.0000000000000001E-3</v>
      </c>
      <c r="W118">
        <f t="shared" si="86"/>
        <v>0</v>
      </c>
      <c r="X118">
        <f t="shared" si="87"/>
        <v>172.55</v>
      </c>
      <c r="Y118">
        <f t="shared" si="88"/>
        <v>118.06</v>
      </c>
      <c r="AA118">
        <v>39616881</v>
      </c>
      <c r="AB118">
        <f t="shared" si="89"/>
        <v>453.93</v>
      </c>
      <c r="AC118">
        <f t="shared" si="111"/>
        <v>106.42</v>
      </c>
      <c r="AD118">
        <f t="shared" si="112"/>
        <v>4.67</v>
      </c>
      <c r="AE118">
        <f t="shared" si="113"/>
        <v>0.64</v>
      </c>
      <c r="AF118">
        <f t="shared" si="114"/>
        <v>342.84</v>
      </c>
      <c r="AG118">
        <f t="shared" si="90"/>
        <v>0</v>
      </c>
      <c r="AH118">
        <f t="shared" si="115"/>
        <v>34.56</v>
      </c>
      <c r="AI118">
        <f t="shared" si="116"/>
        <v>0.05</v>
      </c>
      <c r="AJ118">
        <f t="shared" si="91"/>
        <v>0</v>
      </c>
      <c r="AK118">
        <v>453.93</v>
      </c>
      <c r="AL118">
        <v>106.42</v>
      </c>
      <c r="AM118">
        <v>4.67</v>
      </c>
      <c r="AN118">
        <v>0.64</v>
      </c>
      <c r="AO118">
        <v>342.84</v>
      </c>
      <c r="AP118">
        <v>0</v>
      </c>
      <c r="AQ118">
        <v>34.56</v>
      </c>
      <c r="AR118">
        <v>0.05</v>
      </c>
      <c r="AS118">
        <v>0</v>
      </c>
      <c r="AT118">
        <v>95</v>
      </c>
      <c r="AU118">
        <v>65</v>
      </c>
      <c r="AV118">
        <v>1</v>
      </c>
      <c r="AW118">
        <v>1</v>
      </c>
      <c r="AZ118">
        <v>6.61</v>
      </c>
      <c r="BA118">
        <v>6.61</v>
      </c>
      <c r="BB118">
        <v>6.61</v>
      </c>
      <c r="BC118">
        <v>6.61</v>
      </c>
      <c r="BD118" t="s">
        <v>3</v>
      </c>
      <c r="BE118" t="s">
        <v>3</v>
      </c>
      <c r="BF118" t="s">
        <v>3</v>
      </c>
      <c r="BG118" t="s">
        <v>3</v>
      </c>
      <c r="BH118">
        <v>0</v>
      </c>
      <c r="BI118">
        <v>2</v>
      </c>
      <c r="BJ118" t="s">
        <v>322</v>
      </c>
      <c r="BM118">
        <v>108001</v>
      </c>
      <c r="BN118">
        <v>0</v>
      </c>
      <c r="BO118" t="s">
        <v>3</v>
      </c>
      <c r="BP118">
        <v>0</v>
      </c>
      <c r="BQ118">
        <v>3</v>
      </c>
      <c r="BR118">
        <v>0</v>
      </c>
      <c r="BS118">
        <v>6.61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95</v>
      </c>
      <c r="CA118">
        <v>65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 t="shared" si="92"/>
        <v>240.03</v>
      </c>
      <c r="CQ118">
        <f t="shared" si="93"/>
        <v>703.4362000000001</v>
      </c>
      <c r="CR118">
        <f t="shared" si="94"/>
        <v>30.8687</v>
      </c>
      <c r="CS118">
        <f t="shared" si="95"/>
        <v>4.2304000000000004</v>
      </c>
      <c r="CT118">
        <f t="shared" si="96"/>
        <v>2266.1723999999999</v>
      </c>
      <c r="CU118">
        <f t="shared" si="97"/>
        <v>0</v>
      </c>
      <c r="CV118">
        <f t="shared" si="98"/>
        <v>34.56</v>
      </c>
      <c r="CW118">
        <f t="shared" si="99"/>
        <v>0.05</v>
      </c>
      <c r="CX118">
        <f t="shared" si="100"/>
        <v>0</v>
      </c>
      <c r="CY118">
        <f t="shared" si="101"/>
        <v>172.54849999999999</v>
      </c>
      <c r="CZ118">
        <f t="shared" si="102"/>
        <v>118.05949999999999</v>
      </c>
      <c r="DC118" t="s">
        <v>3</v>
      </c>
      <c r="DD118" t="s">
        <v>3</v>
      </c>
      <c r="DE118" t="s">
        <v>3</v>
      </c>
      <c r="DF118" t="s">
        <v>3</v>
      </c>
      <c r="DG118" t="s">
        <v>3</v>
      </c>
      <c r="DH118" t="s">
        <v>3</v>
      </c>
      <c r="DI118" t="s">
        <v>3</v>
      </c>
      <c r="DJ118" t="s">
        <v>3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43</v>
      </c>
      <c r="DW118" t="s">
        <v>43</v>
      </c>
      <c r="DX118">
        <v>1</v>
      </c>
      <c r="EE118">
        <v>39174386</v>
      </c>
      <c r="EF118">
        <v>3</v>
      </c>
      <c r="EG118" t="s">
        <v>268</v>
      </c>
      <c r="EH118">
        <v>0</v>
      </c>
      <c r="EI118" t="s">
        <v>3</v>
      </c>
      <c r="EJ118">
        <v>2</v>
      </c>
      <c r="EK118">
        <v>108001</v>
      </c>
      <c r="EL118" t="s">
        <v>269</v>
      </c>
      <c r="EM118" t="s">
        <v>270</v>
      </c>
      <c r="EO118" t="s">
        <v>3</v>
      </c>
      <c r="EQ118">
        <v>0</v>
      </c>
      <c r="ER118">
        <v>453.93</v>
      </c>
      <c r="ES118">
        <v>106.42</v>
      </c>
      <c r="ET118">
        <v>4.67</v>
      </c>
      <c r="EU118">
        <v>0.64</v>
      </c>
      <c r="EV118">
        <v>342.84</v>
      </c>
      <c r="EW118">
        <v>34.56</v>
      </c>
      <c r="EX118">
        <v>0.05</v>
      </c>
      <c r="EY118">
        <v>0</v>
      </c>
      <c r="FQ118">
        <v>0</v>
      </c>
      <c r="FR118">
        <f t="shared" si="103"/>
        <v>0</v>
      </c>
      <c r="FS118">
        <v>0</v>
      </c>
      <c r="FX118">
        <v>95</v>
      </c>
      <c r="FY118">
        <v>65</v>
      </c>
      <c r="GA118" t="s">
        <v>3</v>
      </c>
      <c r="GD118">
        <v>0</v>
      </c>
      <c r="GF118">
        <v>1188648583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04"/>
        <v>0</v>
      </c>
      <c r="GM118">
        <f t="shared" si="105"/>
        <v>530.64</v>
      </c>
      <c r="GN118">
        <f t="shared" si="106"/>
        <v>0</v>
      </c>
      <c r="GO118">
        <f t="shared" si="107"/>
        <v>530.64</v>
      </c>
      <c r="GP118">
        <f t="shared" si="108"/>
        <v>0</v>
      </c>
      <c r="GR118">
        <v>0</v>
      </c>
      <c r="GS118">
        <v>3</v>
      </c>
      <c r="GT118">
        <v>0</v>
      </c>
      <c r="GU118" t="s">
        <v>3</v>
      </c>
      <c r="GV118">
        <f t="shared" si="109"/>
        <v>0</v>
      </c>
      <c r="GW118">
        <v>1</v>
      </c>
      <c r="GX118">
        <f t="shared" si="110"/>
        <v>0</v>
      </c>
      <c r="HA118">
        <v>0</v>
      </c>
      <c r="HB118">
        <v>0</v>
      </c>
      <c r="IK118">
        <v>0</v>
      </c>
    </row>
    <row r="119" spans="1:245" x14ac:dyDescent="0.2">
      <c r="A119">
        <v>18</v>
      </c>
      <c r="B119">
        <v>1</v>
      </c>
      <c r="C119">
        <v>166</v>
      </c>
      <c r="E119" t="s">
        <v>323</v>
      </c>
      <c r="F119" t="s">
        <v>324</v>
      </c>
      <c r="G119" t="s">
        <v>325</v>
      </c>
      <c r="H119" t="s">
        <v>90</v>
      </c>
      <c r="I119">
        <f>I118*J119</f>
        <v>0.08</v>
      </c>
      <c r="J119">
        <v>1</v>
      </c>
      <c r="O119">
        <f t="shared" si="78"/>
        <v>475.39</v>
      </c>
      <c r="P119">
        <f t="shared" si="79"/>
        <v>475.39</v>
      </c>
      <c r="Q119">
        <f t="shared" si="80"/>
        <v>0</v>
      </c>
      <c r="R119">
        <f t="shared" si="81"/>
        <v>0</v>
      </c>
      <c r="S119">
        <f t="shared" si="82"/>
        <v>0</v>
      </c>
      <c r="T119">
        <f t="shared" si="83"/>
        <v>0</v>
      </c>
      <c r="U119">
        <f t="shared" si="84"/>
        <v>0</v>
      </c>
      <c r="V119">
        <f t="shared" si="85"/>
        <v>0</v>
      </c>
      <c r="W119">
        <f t="shared" si="86"/>
        <v>0</v>
      </c>
      <c r="X119">
        <f t="shared" si="87"/>
        <v>0</v>
      </c>
      <c r="Y119">
        <f t="shared" si="88"/>
        <v>0</v>
      </c>
      <c r="AA119">
        <v>39616881</v>
      </c>
      <c r="AB119">
        <f t="shared" si="89"/>
        <v>899</v>
      </c>
      <c r="AC119">
        <f t="shared" si="111"/>
        <v>899</v>
      </c>
      <c r="AD119">
        <f t="shared" si="112"/>
        <v>0</v>
      </c>
      <c r="AE119">
        <f t="shared" si="113"/>
        <v>0</v>
      </c>
      <c r="AF119">
        <f t="shared" si="114"/>
        <v>0</v>
      </c>
      <c r="AG119">
        <f t="shared" si="90"/>
        <v>0</v>
      </c>
      <c r="AH119">
        <f t="shared" si="115"/>
        <v>0</v>
      </c>
      <c r="AI119">
        <f t="shared" si="116"/>
        <v>0</v>
      </c>
      <c r="AJ119">
        <f t="shared" si="91"/>
        <v>0</v>
      </c>
      <c r="AK119">
        <v>899</v>
      </c>
      <c r="AL119">
        <v>899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95</v>
      </c>
      <c r="AU119">
        <v>65</v>
      </c>
      <c r="AV119">
        <v>1</v>
      </c>
      <c r="AW119">
        <v>1</v>
      </c>
      <c r="AZ119">
        <v>6.61</v>
      </c>
      <c r="BA119">
        <v>1</v>
      </c>
      <c r="BB119">
        <v>1</v>
      </c>
      <c r="BC119">
        <v>6.61</v>
      </c>
      <c r="BD119" t="s">
        <v>3</v>
      </c>
      <c r="BE119" t="s">
        <v>3</v>
      </c>
      <c r="BF119" t="s">
        <v>3</v>
      </c>
      <c r="BG119" t="s">
        <v>3</v>
      </c>
      <c r="BH119">
        <v>3</v>
      </c>
      <c r="BI119">
        <v>2</v>
      </c>
      <c r="BJ119" t="s">
        <v>326</v>
      </c>
      <c r="BM119">
        <v>108001</v>
      </c>
      <c r="BN119">
        <v>0</v>
      </c>
      <c r="BO119" t="s">
        <v>3</v>
      </c>
      <c r="BP119">
        <v>0</v>
      </c>
      <c r="BQ119">
        <v>3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95</v>
      </c>
      <c r="CA119">
        <v>65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92"/>
        <v>475.39</v>
      </c>
      <c r="CQ119">
        <f t="shared" si="93"/>
        <v>5942.39</v>
      </c>
      <c r="CR119">
        <f t="shared" si="94"/>
        <v>0</v>
      </c>
      <c r="CS119">
        <f t="shared" si="95"/>
        <v>0</v>
      </c>
      <c r="CT119">
        <f t="shared" si="96"/>
        <v>0</v>
      </c>
      <c r="CU119">
        <f t="shared" si="97"/>
        <v>0</v>
      </c>
      <c r="CV119">
        <f t="shared" si="98"/>
        <v>0</v>
      </c>
      <c r="CW119">
        <f t="shared" si="99"/>
        <v>0</v>
      </c>
      <c r="CX119">
        <f t="shared" si="100"/>
        <v>0</v>
      </c>
      <c r="CY119">
        <f t="shared" si="101"/>
        <v>0</v>
      </c>
      <c r="CZ119">
        <f t="shared" si="102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90</v>
      </c>
      <c r="DW119" t="s">
        <v>90</v>
      </c>
      <c r="DX119">
        <v>100</v>
      </c>
      <c r="EE119">
        <v>39174386</v>
      </c>
      <c r="EF119">
        <v>3</v>
      </c>
      <c r="EG119" t="s">
        <v>268</v>
      </c>
      <c r="EH119">
        <v>0</v>
      </c>
      <c r="EI119" t="s">
        <v>3</v>
      </c>
      <c r="EJ119">
        <v>2</v>
      </c>
      <c r="EK119">
        <v>108001</v>
      </c>
      <c r="EL119" t="s">
        <v>269</v>
      </c>
      <c r="EM119" t="s">
        <v>270</v>
      </c>
      <c r="EO119" t="s">
        <v>3</v>
      </c>
      <c r="EQ119">
        <v>0</v>
      </c>
      <c r="ER119">
        <v>899</v>
      </c>
      <c r="ES119">
        <v>899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03"/>
        <v>0</v>
      </c>
      <c r="FS119">
        <v>0</v>
      </c>
      <c r="FX119">
        <v>95</v>
      </c>
      <c r="FY119">
        <v>65</v>
      </c>
      <c r="GA119" t="s">
        <v>3</v>
      </c>
      <c r="GD119">
        <v>0</v>
      </c>
      <c r="GF119">
        <v>1266908111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04"/>
        <v>0</v>
      </c>
      <c r="GM119">
        <f t="shared" si="105"/>
        <v>475.39</v>
      </c>
      <c r="GN119">
        <f t="shared" si="106"/>
        <v>0</v>
      </c>
      <c r="GO119">
        <f t="shared" si="107"/>
        <v>475.39</v>
      </c>
      <c r="GP119">
        <f t="shared" si="108"/>
        <v>0</v>
      </c>
      <c r="GR119">
        <v>0</v>
      </c>
      <c r="GS119">
        <v>3</v>
      </c>
      <c r="GT119">
        <v>0</v>
      </c>
      <c r="GU119" t="s">
        <v>3</v>
      </c>
      <c r="GV119">
        <f t="shared" si="109"/>
        <v>0</v>
      </c>
      <c r="GW119">
        <v>1</v>
      </c>
      <c r="GX119">
        <f t="shared" si="110"/>
        <v>0</v>
      </c>
      <c r="HA119">
        <v>0</v>
      </c>
      <c r="HB119">
        <v>0</v>
      </c>
      <c r="IK119">
        <v>0</v>
      </c>
    </row>
    <row r="120" spans="1:245" x14ac:dyDescent="0.2">
      <c r="A120">
        <v>17</v>
      </c>
      <c r="B120">
        <v>1</v>
      </c>
      <c r="C120">
        <f>ROW(SmtRes!A177)</f>
        <v>177</v>
      </c>
      <c r="D120">
        <f>ROW(EtalonRes!A165)</f>
        <v>165</v>
      </c>
      <c r="E120" t="s">
        <v>327</v>
      </c>
      <c r="F120" t="s">
        <v>328</v>
      </c>
      <c r="G120" t="s">
        <v>329</v>
      </c>
      <c r="H120" t="s">
        <v>43</v>
      </c>
      <c r="I120">
        <f>ROUND(6/100,9)</f>
        <v>0.06</v>
      </c>
      <c r="J120">
        <v>0</v>
      </c>
      <c r="O120">
        <f t="shared" si="78"/>
        <v>168.14</v>
      </c>
      <c r="P120">
        <f t="shared" si="79"/>
        <v>41.97</v>
      </c>
      <c r="Q120">
        <f t="shared" si="80"/>
        <v>1.85</v>
      </c>
      <c r="R120">
        <f t="shared" si="81"/>
        <v>0.25</v>
      </c>
      <c r="S120">
        <f t="shared" si="82"/>
        <v>124.32</v>
      </c>
      <c r="T120">
        <f t="shared" si="83"/>
        <v>0</v>
      </c>
      <c r="U120">
        <f t="shared" si="84"/>
        <v>1.8959999999999999</v>
      </c>
      <c r="V120">
        <f t="shared" si="85"/>
        <v>3.0000000000000001E-3</v>
      </c>
      <c r="W120">
        <f t="shared" si="86"/>
        <v>0</v>
      </c>
      <c r="X120">
        <f t="shared" si="87"/>
        <v>118.34</v>
      </c>
      <c r="Y120">
        <f t="shared" si="88"/>
        <v>80.97</v>
      </c>
      <c r="AA120">
        <v>39616881</v>
      </c>
      <c r="AB120">
        <f t="shared" si="89"/>
        <v>423.97</v>
      </c>
      <c r="AC120">
        <f t="shared" si="111"/>
        <v>105.83</v>
      </c>
      <c r="AD120">
        <f t="shared" si="112"/>
        <v>4.67</v>
      </c>
      <c r="AE120">
        <f t="shared" si="113"/>
        <v>0.64</v>
      </c>
      <c r="AF120">
        <f t="shared" si="114"/>
        <v>313.47000000000003</v>
      </c>
      <c r="AG120">
        <f t="shared" si="90"/>
        <v>0</v>
      </c>
      <c r="AH120">
        <f t="shared" si="115"/>
        <v>31.6</v>
      </c>
      <c r="AI120">
        <f t="shared" si="116"/>
        <v>0.05</v>
      </c>
      <c r="AJ120">
        <f t="shared" si="91"/>
        <v>0</v>
      </c>
      <c r="AK120">
        <v>423.97</v>
      </c>
      <c r="AL120">
        <v>105.83</v>
      </c>
      <c r="AM120">
        <v>4.67</v>
      </c>
      <c r="AN120">
        <v>0.64</v>
      </c>
      <c r="AO120">
        <v>313.47000000000003</v>
      </c>
      <c r="AP120">
        <v>0</v>
      </c>
      <c r="AQ120">
        <v>31.6</v>
      </c>
      <c r="AR120">
        <v>0.05</v>
      </c>
      <c r="AS120">
        <v>0</v>
      </c>
      <c r="AT120">
        <v>95</v>
      </c>
      <c r="AU120">
        <v>65</v>
      </c>
      <c r="AV120">
        <v>1</v>
      </c>
      <c r="AW120">
        <v>1</v>
      </c>
      <c r="AZ120">
        <v>6.61</v>
      </c>
      <c r="BA120">
        <v>6.61</v>
      </c>
      <c r="BB120">
        <v>6.61</v>
      </c>
      <c r="BC120">
        <v>6.61</v>
      </c>
      <c r="BD120" t="s">
        <v>3</v>
      </c>
      <c r="BE120" t="s">
        <v>3</v>
      </c>
      <c r="BF120" t="s">
        <v>3</v>
      </c>
      <c r="BG120" t="s">
        <v>3</v>
      </c>
      <c r="BH120">
        <v>0</v>
      </c>
      <c r="BI120">
        <v>2</v>
      </c>
      <c r="BJ120" t="s">
        <v>330</v>
      </c>
      <c r="BM120">
        <v>108001</v>
      </c>
      <c r="BN120">
        <v>0</v>
      </c>
      <c r="BO120" t="s">
        <v>3</v>
      </c>
      <c r="BP120">
        <v>0</v>
      </c>
      <c r="BQ120">
        <v>3</v>
      </c>
      <c r="BR120">
        <v>0</v>
      </c>
      <c r="BS120">
        <v>6.61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95</v>
      </c>
      <c r="CA120">
        <v>65</v>
      </c>
      <c r="CF120">
        <v>0</v>
      </c>
      <c r="CG120">
        <v>0</v>
      </c>
      <c r="CM120">
        <v>0</v>
      </c>
      <c r="CN120" t="s">
        <v>3</v>
      </c>
      <c r="CO120">
        <v>0</v>
      </c>
      <c r="CP120">
        <f t="shared" si="92"/>
        <v>168.14</v>
      </c>
      <c r="CQ120">
        <f t="shared" si="93"/>
        <v>699.53629999999998</v>
      </c>
      <c r="CR120">
        <f t="shared" si="94"/>
        <v>30.8687</v>
      </c>
      <c r="CS120">
        <f t="shared" si="95"/>
        <v>4.2304000000000004</v>
      </c>
      <c r="CT120">
        <f t="shared" si="96"/>
        <v>2072.0367000000001</v>
      </c>
      <c r="CU120">
        <f t="shared" si="97"/>
        <v>0</v>
      </c>
      <c r="CV120">
        <f t="shared" si="98"/>
        <v>31.6</v>
      </c>
      <c r="CW120">
        <f t="shared" si="99"/>
        <v>0.05</v>
      </c>
      <c r="CX120">
        <f t="shared" si="100"/>
        <v>0</v>
      </c>
      <c r="CY120">
        <f t="shared" si="101"/>
        <v>118.3415</v>
      </c>
      <c r="CZ120">
        <f t="shared" si="102"/>
        <v>80.970499999999987</v>
      </c>
      <c r="DC120" t="s">
        <v>3</v>
      </c>
      <c r="DD120" t="s">
        <v>3</v>
      </c>
      <c r="DE120" t="s">
        <v>3</v>
      </c>
      <c r="DF120" t="s">
        <v>3</v>
      </c>
      <c r="DG120" t="s">
        <v>3</v>
      </c>
      <c r="DH120" t="s">
        <v>3</v>
      </c>
      <c r="DI120" t="s">
        <v>3</v>
      </c>
      <c r="DJ120" t="s">
        <v>3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1013</v>
      </c>
      <c r="DV120" t="s">
        <v>43</v>
      </c>
      <c r="DW120" t="s">
        <v>43</v>
      </c>
      <c r="DX120">
        <v>1</v>
      </c>
      <c r="EE120">
        <v>39174386</v>
      </c>
      <c r="EF120">
        <v>3</v>
      </c>
      <c r="EG120" t="s">
        <v>268</v>
      </c>
      <c r="EH120">
        <v>0</v>
      </c>
      <c r="EI120" t="s">
        <v>3</v>
      </c>
      <c r="EJ120">
        <v>2</v>
      </c>
      <c r="EK120">
        <v>108001</v>
      </c>
      <c r="EL120" t="s">
        <v>269</v>
      </c>
      <c r="EM120" t="s">
        <v>270</v>
      </c>
      <c r="EO120" t="s">
        <v>3</v>
      </c>
      <c r="EQ120">
        <v>0</v>
      </c>
      <c r="ER120">
        <v>423.97</v>
      </c>
      <c r="ES120">
        <v>105.83</v>
      </c>
      <c r="ET120">
        <v>4.67</v>
      </c>
      <c r="EU120">
        <v>0.64</v>
      </c>
      <c r="EV120">
        <v>313.47000000000003</v>
      </c>
      <c r="EW120">
        <v>31.6</v>
      </c>
      <c r="EX120">
        <v>0.05</v>
      </c>
      <c r="EY120">
        <v>0</v>
      </c>
      <c r="FQ120">
        <v>0</v>
      </c>
      <c r="FR120">
        <f t="shared" si="103"/>
        <v>0</v>
      </c>
      <c r="FS120">
        <v>0</v>
      </c>
      <c r="FX120">
        <v>95</v>
      </c>
      <c r="FY120">
        <v>65</v>
      </c>
      <c r="GA120" t="s">
        <v>3</v>
      </c>
      <c r="GD120">
        <v>0</v>
      </c>
      <c r="GF120">
        <v>-312235141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04"/>
        <v>0</v>
      </c>
      <c r="GM120">
        <f t="shared" si="105"/>
        <v>367.45</v>
      </c>
      <c r="GN120">
        <f t="shared" si="106"/>
        <v>0</v>
      </c>
      <c r="GO120">
        <f t="shared" si="107"/>
        <v>367.45</v>
      </c>
      <c r="GP120">
        <f t="shared" si="108"/>
        <v>0</v>
      </c>
      <c r="GR120">
        <v>0</v>
      </c>
      <c r="GS120">
        <v>3</v>
      </c>
      <c r="GT120">
        <v>0</v>
      </c>
      <c r="GU120" t="s">
        <v>3</v>
      </c>
      <c r="GV120">
        <f t="shared" si="109"/>
        <v>0</v>
      </c>
      <c r="GW120">
        <v>1</v>
      </c>
      <c r="GX120">
        <f t="shared" si="110"/>
        <v>0</v>
      </c>
      <c r="HA120">
        <v>0</v>
      </c>
      <c r="HB120">
        <v>0</v>
      </c>
      <c r="IK120">
        <v>0</v>
      </c>
    </row>
    <row r="121" spans="1:245" x14ac:dyDescent="0.2">
      <c r="A121">
        <v>18</v>
      </c>
      <c r="B121">
        <v>1</v>
      </c>
      <c r="C121">
        <v>176</v>
      </c>
      <c r="E121" t="s">
        <v>331</v>
      </c>
      <c r="F121" t="s">
        <v>332</v>
      </c>
      <c r="G121" t="s">
        <v>333</v>
      </c>
      <c r="H121" t="s">
        <v>334</v>
      </c>
      <c r="I121">
        <f>I120*J121</f>
        <v>0.6</v>
      </c>
      <c r="J121">
        <v>10</v>
      </c>
      <c r="O121">
        <f t="shared" si="78"/>
        <v>381.53</v>
      </c>
      <c r="P121">
        <f t="shared" si="79"/>
        <v>381.53</v>
      </c>
      <c r="Q121">
        <f t="shared" si="80"/>
        <v>0</v>
      </c>
      <c r="R121">
        <f t="shared" si="81"/>
        <v>0</v>
      </c>
      <c r="S121">
        <f t="shared" si="82"/>
        <v>0</v>
      </c>
      <c r="T121">
        <f t="shared" si="83"/>
        <v>0</v>
      </c>
      <c r="U121">
        <f t="shared" si="84"/>
        <v>0</v>
      </c>
      <c r="V121">
        <f t="shared" si="85"/>
        <v>0</v>
      </c>
      <c r="W121">
        <f t="shared" si="86"/>
        <v>0</v>
      </c>
      <c r="X121">
        <f t="shared" si="87"/>
        <v>0</v>
      </c>
      <c r="Y121">
        <f t="shared" si="88"/>
        <v>0</v>
      </c>
      <c r="AA121">
        <v>39616881</v>
      </c>
      <c r="AB121">
        <f t="shared" si="89"/>
        <v>96.2</v>
      </c>
      <c r="AC121">
        <f t="shared" si="111"/>
        <v>96.2</v>
      </c>
      <c r="AD121">
        <f t="shared" si="112"/>
        <v>0</v>
      </c>
      <c r="AE121">
        <f t="shared" si="113"/>
        <v>0</v>
      </c>
      <c r="AF121">
        <f t="shared" si="114"/>
        <v>0</v>
      </c>
      <c r="AG121">
        <f t="shared" si="90"/>
        <v>0</v>
      </c>
      <c r="AH121">
        <f t="shared" si="115"/>
        <v>0</v>
      </c>
      <c r="AI121">
        <f t="shared" si="116"/>
        <v>0</v>
      </c>
      <c r="AJ121">
        <f t="shared" si="91"/>
        <v>0</v>
      </c>
      <c r="AK121">
        <v>96.2</v>
      </c>
      <c r="AL121">
        <v>96.2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95</v>
      </c>
      <c r="AU121">
        <v>65</v>
      </c>
      <c r="AV121">
        <v>1</v>
      </c>
      <c r="AW121">
        <v>1</v>
      </c>
      <c r="AZ121">
        <v>6.61</v>
      </c>
      <c r="BA121">
        <v>1</v>
      </c>
      <c r="BB121">
        <v>1</v>
      </c>
      <c r="BC121">
        <v>6.61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2</v>
      </c>
      <c r="BJ121" t="s">
        <v>335</v>
      </c>
      <c r="BM121">
        <v>108001</v>
      </c>
      <c r="BN121">
        <v>0</v>
      </c>
      <c r="BO121" t="s">
        <v>3</v>
      </c>
      <c r="BP121">
        <v>0</v>
      </c>
      <c r="BQ121">
        <v>3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95</v>
      </c>
      <c r="CA121">
        <v>65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92"/>
        <v>381.53</v>
      </c>
      <c r="CQ121">
        <f t="shared" si="93"/>
        <v>635.88200000000006</v>
      </c>
      <c r="CR121">
        <f t="shared" si="94"/>
        <v>0</v>
      </c>
      <c r="CS121">
        <f t="shared" si="95"/>
        <v>0</v>
      </c>
      <c r="CT121">
        <f t="shared" si="96"/>
        <v>0</v>
      </c>
      <c r="CU121">
        <f t="shared" si="97"/>
        <v>0</v>
      </c>
      <c r="CV121">
        <f t="shared" si="98"/>
        <v>0</v>
      </c>
      <c r="CW121">
        <f t="shared" si="99"/>
        <v>0</v>
      </c>
      <c r="CX121">
        <f t="shared" si="100"/>
        <v>0</v>
      </c>
      <c r="CY121">
        <f t="shared" si="101"/>
        <v>0</v>
      </c>
      <c r="CZ121">
        <f t="shared" si="102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1010</v>
      </c>
      <c r="DV121" t="s">
        <v>334</v>
      </c>
      <c r="DW121" t="s">
        <v>334</v>
      </c>
      <c r="DX121">
        <v>10</v>
      </c>
      <c r="EE121">
        <v>39174386</v>
      </c>
      <c r="EF121">
        <v>3</v>
      </c>
      <c r="EG121" t="s">
        <v>268</v>
      </c>
      <c r="EH121">
        <v>0</v>
      </c>
      <c r="EI121" t="s">
        <v>3</v>
      </c>
      <c r="EJ121">
        <v>2</v>
      </c>
      <c r="EK121">
        <v>108001</v>
      </c>
      <c r="EL121" t="s">
        <v>269</v>
      </c>
      <c r="EM121" t="s">
        <v>270</v>
      </c>
      <c r="EO121" t="s">
        <v>3</v>
      </c>
      <c r="EQ121">
        <v>0</v>
      </c>
      <c r="ER121">
        <v>96.2</v>
      </c>
      <c r="ES121">
        <v>96.2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03"/>
        <v>0</v>
      </c>
      <c r="FS121">
        <v>0</v>
      </c>
      <c r="FX121">
        <v>95</v>
      </c>
      <c r="FY121">
        <v>65</v>
      </c>
      <c r="GA121" t="s">
        <v>3</v>
      </c>
      <c r="GD121">
        <v>0</v>
      </c>
      <c r="GF121">
        <v>-1345639916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04"/>
        <v>0</v>
      </c>
      <c r="GM121">
        <f t="shared" si="105"/>
        <v>381.53</v>
      </c>
      <c r="GN121">
        <f t="shared" si="106"/>
        <v>0</v>
      </c>
      <c r="GO121">
        <f t="shared" si="107"/>
        <v>381.53</v>
      </c>
      <c r="GP121">
        <f t="shared" si="108"/>
        <v>0</v>
      </c>
      <c r="GR121">
        <v>0</v>
      </c>
      <c r="GS121">
        <v>3</v>
      </c>
      <c r="GT121">
        <v>0</v>
      </c>
      <c r="GU121" t="s">
        <v>3</v>
      </c>
      <c r="GV121">
        <f t="shared" si="109"/>
        <v>0</v>
      </c>
      <c r="GW121">
        <v>1</v>
      </c>
      <c r="GX121">
        <f t="shared" si="110"/>
        <v>0</v>
      </c>
      <c r="HA121">
        <v>0</v>
      </c>
      <c r="HB121">
        <v>0</v>
      </c>
      <c r="IK121">
        <v>0</v>
      </c>
    </row>
    <row r="122" spans="1:245" x14ac:dyDescent="0.2">
      <c r="A122">
        <v>17</v>
      </c>
      <c r="B122">
        <v>1</v>
      </c>
      <c r="C122">
        <f>ROW(SmtRes!A186)</f>
        <v>186</v>
      </c>
      <c r="D122">
        <f>ROW(EtalonRes!A173)</f>
        <v>173</v>
      </c>
      <c r="E122" t="s">
        <v>336</v>
      </c>
      <c r="F122" t="s">
        <v>261</v>
      </c>
      <c r="G122" t="s">
        <v>337</v>
      </c>
      <c r="H122" t="s">
        <v>263</v>
      </c>
      <c r="I122">
        <v>1</v>
      </c>
      <c r="J122">
        <v>0</v>
      </c>
      <c r="O122">
        <f t="shared" si="78"/>
        <v>220.9</v>
      </c>
      <c r="P122">
        <f t="shared" si="79"/>
        <v>40.98</v>
      </c>
      <c r="Q122">
        <f t="shared" si="80"/>
        <v>117.46</v>
      </c>
      <c r="R122">
        <f t="shared" si="81"/>
        <v>16.59</v>
      </c>
      <c r="S122">
        <f t="shared" si="82"/>
        <v>62.46</v>
      </c>
      <c r="T122">
        <f t="shared" si="83"/>
        <v>0</v>
      </c>
      <c r="U122">
        <f t="shared" si="84"/>
        <v>0.9</v>
      </c>
      <c r="V122">
        <f t="shared" si="85"/>
        <v>0.2</v>
      </c>
      <c r="W122">
        <f t="shared" si="86"/>
        <v>0</v>
      </c>
      <c r="X122">
        <f t="shared" si="87"/>
        <v>75.099999999999994</v>
      </c>
      <c r="Y122">
        <f t="shared" si="88"/>
        <v>51.38</v>
      </c>
      <c r="AA122">
        <v>39616881</v>
      </c>
      <c r="AB122">
        <f t="shared" si="89"/>
        <v>33.42</v>
      </c>
      <c r="AC122">
        <f t="shared" si="111"/>
        <v>6.2</v>
      </c>
      <c r="AD122">
        <f t="shared" si="112"/>
        <v>17.77</v>
      </c>
      <c r="AE122">
        <f t="shared" si="113"/>
        <v>2.5099999999999998</v>
      </c>
      <c r="AF122">
        <f t="shared" si="114"/>
        <v>9.4499999999999993</v>
      </c>
      <c r="AG122">
        <f t="shared" si="90"/>
        <v>0</v>
      </c>
      <c r="AH122">
        <f t="shared" si="115"/>
        <v>0.9</v>
      </c>
      <c r="AI122">
        <f t="shared" si="116"/>
        <v>0.2</v>
      </c>
      <c r="AJ122">
        <f t="shared" si="91"/>
        <v>0</v>
      </c>
      <c r="AK122">
        <v>33.42</v>
      </c>
      <c r="AL122">
        <v>6.2</v>
      </c>
      <c r="AM122">
        <v>17.77</v>
      </c>
      <c r="AN122">
        <v>2.5099999999999998</v>
      </c>
      <c r="AO122">
        <v>9.4499999999999993</v>
      </c>
      <c r="AP122">
        <v>0</v>
      </c>
      <c r="AQ122">
        <v>0.9</v>
      </c>
      <c r="AR122">
        <v>0.2</v>
      </c>
      <c r="AS122">
        <v>0</v>
      </c>
      <c r="AT122">
        <v>95</v>
      </c>
      <c r="AU122">
        <v>65</v>
      </c>
      <c r="AV122">
        <v>1</v>
      </c>
      <c r="AW122">
        <v>1</v>
      </c>
      <c r="AZ122">
        <v>6.61</v>
      </c>
      <c r="BA122">
        <v>6.61</v>
      </c>
      <c r="BB122">
        <v>6.61</v>
      </c>
      <c r="BC122">
        <v>6.61</v>
      </c>
      <c r="BD122" t="s">
        <v>3</v>
      </c>
      <c r="BE122" t="s">
        <v>3</v>
      </c>
      <c r="BF122" t="s">
        <v>3</v>
      </c>
      <c r="BG122" t="s">
        <v>3</v>
      </c>
      <c r="BH122">
        <v>0</v>
      </c>
      <c r="BI122">
        <v>2</v>
      </c>
      <c r="BJ122" t="s">
        <v>264</v>
      </c>
      <c r="BM122">
        <v>108001</v>
      </c>
      <c r="BN122">
        <v>0</v>
      </c>
      <c r="BO122" t="s">
        <v>3</v>
      </c>
      <c r="BP122">
        <v>0</v>
      </c>
      <c r="BQ122">
        <v>3</v>
      </c>
      <c r="BR122">
        <v>0</v>
      </c>
      <c r="BS122">
        <v>6.61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95</v>
      </c>
      <c r="CA122">
        <v>65</v>
      </c>
      <c r="CF122">
        <v>0</v>
      </c>
      <c r="CG122">
        <v>0</v>
      </c>
      <c r="CM122">
        <v>0</v>
      </c>
      <c r="CN122" t="s">
        <v>3</v>
      </c>
      <c r="CO122">
        <v>0</v>
      </c>
      <c r="CP122">
        <f t="shared" si="92"/>
        <v>220.9</v>
      </c>
      <c r="CQ122">
        <f t="shared" si="93"/>
        <v>40.982000000000006</v>
      </c>
      <c r="CR122">
        <f t="shared" si="94"/>
        <v>117.4597</v>
      </c>
      <c r="CS122">
        <f t="shared" si="95"/>
        <v>16.591100000000001</v>
      </c>
      <c r="CT122">
        <f t="shared" si="96"/>
        <v>62.464500000000001</v>
      </c>
      <c r="CU122">
        <f t="shared" si="97"/>
        <v>0</v>
      </c>
      <c r="CV122">
        <f t="shared" si="98"/>
        <v>0.9</v>
      </c>
      <c r="CW122">
        <f t="shared" si="99"/>
        <v>0.2</v>
      </c>
      <c r="CX122">
        <f t="shared" si="100"/>
        <v>0</v>
      </c>
      <c r="CY122">
        <f t="shared" si="101"/>
        <v>75.097499999999997</v>
      </c>
      <c r="CZ122">
        <f t="shared" si="102"/>
        <v>51.3825</v>
      </c>
      <c r="DC122" t="s">
        <v>3</v>
      </c>
      <c r="DD122" t="s">
        <v>3</v>
      </c>
      <c r="DE122" t="s">
        <v>3</v>
      </c>
      <c r="DF122" t="s">
        <v>3</v>
      </c>
      <c r="DG122" t="s">
        <v>3</v>
      </c>
      <c r="DH122" t="s">
        <v>3</v>
      </c>
      <c r="DI122" t="s">
        <v>3</v>
      </c>
      <c r="DJ122" t="s">
        <v>3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1013</v>
      </c>
      <c r="DV122" t="s">
        <v>263</v>
      </c>
      <c r="DW122" t="s">
        <v>263</v>
      </c>
      <c r="DX122">
        <v>1</v>
      </c>
      <c r="EE122">
        <v>39174386</v>
      </c>
      <c r="EF122">
        <v>3</v>
      </c>
      <c r="EG122" t="s">
        <v>268</v>
      </c>
      <c r="EH122">
        <v>0</v>
      </c>
      <c r="EI122" t="s">
        <v>3</v>
      </c>
      <c r="EJ122">
        <v>2</v>
      </c>
      <c r="EK122">
        <v>108001</v>
      </c>
      <c r="EL122" t="s">
        <v>269</v>
      </c>
      <c r="EM122" t="s">
        <v>270</v>
      </c>
      <c r="EO122" t="s">
        <v>3</v>
      </c>
      <c r="EQ122">
        <v>0</v>
      </c>
      <c r="ER122">
        <v>33.42</v>
      </c>
      <c r="ES122">
        <v>6.2</v>
      </c>
      <c r="ET122">
        <v>17.77</v>
      </c>
      <c r="EU122">
        <v>2.5099999999999998</v>
      </c>
      <c r="EV122">
        <v>9.4499999999999993</v>
      </c>
      <c r="EW122">
        <v>0.9</v>
      </c>
      <c r="EX122">
        <v>0.2</v>
      </c>
      <c r="EY122">
        <v>0</v>
      </c>
      <c r="FQ122">
        <v>0</v>
      </c>
      <c r="FR122">
        <f t="shared" si="103"/>
        <v>0</v>
      </c>
      <c r="FS122">
        <v>0</v>
      </c>
      <c r="FX122">
        <v>95</v>
      </c>
      <c r="FY122">
        <v>65</v>
      </c>
      <c r="GA122" t="s">
        <v>3</v>
      </c>
      <c r="GD122">
        <v>0</v>
      </c>
      <c r="GF122">
        <v>-64978218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04"/>
        <v>0</v>
      </c>
      <c r="GM122">
        <f t="shared" si="105"/>
        <v>347.38</v>
      </c>
      <c r="GN122">
        <f t="shared" si="106"/>
        <v>0</v>
      </c>
      <c r="GO122">
        <f t="shared" si="107"/>
        <v>347.38</v>
      </c>
      <c r="GP122">
        <f t="shared" si="108"/>
        <v>0</v>
      </c>
      <c r="GR122">
        <v>0</v>
      </c>
      <c r="GS122">
        <v>3</v>
      </c>
      <c r="GT122">
        <v>0</v>
      </c>
      <c r="GU122" t="s">
        <v>3</v>
      </c>
      <c r="GV122">
        <f t="shared" si="109"/>
        <v>0</v>
      </c>
      <c r="GW122">
        <v>1</v>
      </c>
      <c r="GX122">
        <f t="shared" si="110"/>
        <v>0</v>
      </c>
      <c r="HA122">
        <v>0</v>
      </c>
      <c r="HB122">
        <v>0</v>
      </c>
      <c r="IK122">
        <v>0</v>
      </c>
    </row>
    <row r="123" spans="1:245" x14ac:dyDescent="0.2">
      <c r="A123">
        <v>18</v>
      </c>
      <c r="B123">
        <v>1</v>
      </c>
      <c r="C123">
        <v>185</v>
      </c>
      <c r="E123" t="s">
        <v>338</v>
      </c>
      <c r="F123" t="s">
        <v>339</v>
      </c>
      <c r="G123" t="s">
        <v>340</v>
      </c>
      <c r="H123" t="s">
        <v>50</v>
      </c>
      <c r="I123">
        <f>I122*J123</f>
        <v>1</v>
      </c>
      <c r="J123">
        <v>1</v>
      </c>
      <c r="O123">
        <f t="shared" si="78"/>
        <v>5672.5</v>
      </c>
      <c r="P123">
        <f t="shared" si="79"/>
        <v>5672.5</v>
      </c>
      <c r="Q123">
        <f t="shared" si="80"/>
        <v>0</v>
      </c>
      <c r="R123">
        <f t="shared" si="81"/>
        <v>0</v>
      </c>
      <c r="S123">
        <f t="shared" si="82"/>
        <v>0</v>
      </c>
      <c r="T123">
        <f t="shared" si="83"/>
        <v>0</v>
      </c>
      <c r="U123">
        <f t="shared" si="84"/>
        <v>0</v>
      </c>
      <c r="V123">
        <f t="shared" si="85"/>
        <v>0</v>
      </c>
      <c r="W123">
        <f t="shared" si="86"/>
        <v>0</v>
      </c>
      <c r="X123">
        <f t="shared" si="87"/>
        <v>0</v>
      </c>
      <c r="Y123">
        <f t="shared" si="88"/>
        <v>0</v>
      </c>
      <c r="AA123">
        <v>39616881</v>
      </c>
      <c r="AB123">
        <f t="shared" si="89"/>
        <v>858.17</v>
      </c>
      <c r="AC123">
        <f t="shared" si="111"/>
        <v>858.17</v>
      </c>
      <c r="AD123">
        <f t="shared" si="112"/>
        <v>0</v>
      </c>
      <c r="AE123">
        <f t="shared" si="113"/>
        <v>0</v>
      </c>
      <c r="AF123">
        <f t="shared" si="114"/>
        <v>0</v>
      </c>
      <c r="AG123">
        <f t="shared" si="90"/>
        <v>0</v>
      </c>
      <c r="AH123">
        <f t="shared" si="115"/>
        <v>0</v>
      </c>
      <c r="AI123">
        <f t="shared" si="116"/>
        <v>0</v>
      </c>
      <c r="AJ123">
        <f t="shared" si="91"/>
        <v>0</v>
      </c>
      <c r="AK123">
        <v>858.17</v>
      </c>
      <c r="AL123">
        <v>858.17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95</v>
      </c>
      <c r="AU123">
        <v>65</v>
      </c>
      <c r="AV123">
        <v>1</v>
      </c>
      <c r="AW123">
        <v>1</v>
      </c>
      <c r="AZ123">
        <v>6.61</v>
      </c>
      <c r="BA123">
        <v>1</v>
      </c>
      <c r="BB123">
        <v>1</v>
      </c>
      <c r="BC123">
        <v>6.61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2</v>
      </c>
      <c r="BJ123" t="s">
        <v>341</v>
      </c>
      <c r="BM123">
        <v>108001</v>
      </c>
      <c r="BN123">
        <v>0</v>
      </c>
      <c r="BO123" t="s">
        <v>3</v>
      </c>
      <c r="BP123">
        <v>0</v>
      </c>
      <c r="BQ123">
        <v>3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95</v>
      </c>
      <c r="CA123">
        <v>65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92"/>
        <v>5672.5</v>
      </c>
      <c r="CQ123">
        <f t="shared" si="93"/>
        <v>5672.5037000000002</v>
      </c>
      <c r="CR123">
        <f t="shared" si="94"/>
        <v>0</v>
      </c>
      <c r="CS123">
        <f t="shared" si="95"/>
        <v>0</v>
      </c>
      <c r="CT123">
        <f t="shared" si="96"/>
        <v>0</v>
      </c>
      <c r="CU123">
        <f t="shared" si="97"/>
        <v>0</v>
      </c>
      <c r="CV123">
        <f t="shared" si="98"/>
        <v>0</v>
      </c>
      <c r="CW123">
        <f t="shared" si="99"/>
        <v>0</v>
      </c>
      <c r="CX123">
        <f t="shared" si="100"/>
        <v>0</v>
      </c>
      <c r="CY123">
        <f t="shared" si="101"/>
        <v>0</v>
      </c>
      <c r="CZ123">
        <f t="shared" si="102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1010</v>
      </c>
      <c r="DV123" t="s">
        <v>50</v>
      </c>
      <c r="DW123" t="s">
        <v>50</v>
      </c>
      <c r="DX123">
        <v>1</v>
      </c>
      <c r="EE123">
        <v>39174386</v>
      </c>
      <c r="EF123">
        <v>3</v>
      </c>
      <c r="EG123" t="s">
        <v>268</v>
      </c>
      <c r="EH123">
        <v>0</v>
      </c>
      <c r="EI123" t="s">
        <v>3</v>
      </c>
      <c r="EJ123">
        <v>2</v>
      </c>
      <c r="EK123">
        <v>108001</v>
      </c>
      <c r="EL123" t="s">
        <v>269</v>
      </c>
      <c r="EM123" t="s">
        <v>270</v>
      </c>
      <c r="EO123" t="s">
        <v>3</v>
      </c>
      <c r="EQ123">
        <v>0</v>
      </c>
      <c r="ER123">
        <v>858.17</v>
      </c>
      <c r="ES123">
        <v>858.17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03"/>
        <v>0</v>
      </c>
      <c r="FS123">
        <v>0</v>
      </c>
      <c r="FX123">
        <v>95</v>
      </c>
      <c r="FY123">
        <v>65</v>
      </c>
      <c r="GA123" t="s">
        <v>3</v>
      </c>
      <c r="GD123">
        <v>0</v>
      </c>
      <c r="GF123">
        <v>-1818560436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04"/>
        <v>0</v>
      </c>
      <c r="GM123">
        <f t="shared" si="105"/>
        <v>5672.5</v>
      </c>
      <c r="GN123">
        <f t="shared" si="106"/>
        <v>0</v>
      </c>
      <c r="GO123">
        <f t="shared" si="107"/>
        <v>5672.5</v>
      </c>
      <c r="GP123">
        <f t="shared" si="108"/>
        <v>0</v>
      </c>
      <c r="GR123">
        <v>0</v>
      </c>
      <c r="GS123">
        <v>3</v>
      </c>
      <c r="GT123">
        <v>0</v>
      </c>
      <c r="GU123" t="s">
        <v>3</v>
      </c>
      <c r="GV123">
        <f t="shared" si="109"/>
        <v>0</v>
      </c>
      <c r="GW123">
        <v>1</v>
      </c>
      <c r="GX123">
        <f t="shared" si="110"/>
        <v>0</v>
      </c>
      <c r="HA123">
        <v>0</v>
      </c>
      <c r="HB123">
        <v>0</v>
      </c>
      <c r="IK123">
        <v>0</v>
      </c>
    </row>
    <row r="124" spans="1:245" x14ac:dyDescent="0.2">
      <c r="A124">
        <v>17</v>
      </c>
      <c r="B124">
        <v>1</v>
      </c>
      <c r="C124">
        <f>ROW(SmtRes!A201)</f>
        <v>201</v>
      </c>
      <c r="D124">
        <f>ROW(EtalonRes!A187)</f>
        <v>187</v>
      </c>
      <c r="E124" t="s">
        <v>342</v>
      </c>
      <c r="F124" t="s">
        <v>343</v>
      </c>
      <c r="G124" t="s">
        <v>344</v>
      </c>
      <c r="H124" t="s">
        <v>263</v>
      </c>
      <c r="I124">
        <v>2</v>
      </c>
      <c r="J124">
        <v>0</v>
      </c>
      <c r="O124">
        <f t="shared" si="78"/>
        <v>475.65</v>
      </c>
      <c r="P124">
        <f t="shared" si="79"/>
        <v>265.58999999999997</v>
      </c>
      <c r="Q124">
        <f t="shared" si="80"/>
        <v>13.88</v>
      </c>
      <c r="R124">
        <f t="shared" si="81"/>
        <v>0</v>
      </c>
      <c r="S124">
        <f t="shared" si="82"/>
        <v>196.18</v>
      </c>
      <c r="T124">
        <f t="shared" si="83"/>
        <v>0</v>
      </c>
      <c r="U124">
        <f t="shared" si="84"/>
        <v>3.12</v>
      </c>
      <c r="V124">
        <f t="shared" si="85"/>
        <v>0</v>
      </c>
      <c r="W124">
        <f t="shared" si="86"/>
        <v>0</v>
      </c>
      <c r="X124">
        <f t="shared" si="87"/>
        <v>186.37</v>
      </c>
      <c r="Y124">
        <f t="shared" si="88"/>
        <v>127.52</v>
      </c>
      <c r="AA124">
        <v>39616881</v>
      </c>
      <c r="AB124">
        <f t="shared" si="89"/>
        <v>35.979999999999997</v>
      </c>
      <c r="AC124">
        <f t="shared" si="111"/>
        <v>20.09</v>
      </c>
      <c r="AD124">
        <f t="shared" si="112"/>
        <v>1.05</v>
      </c>
      <c r="AE124">
        <f t="shared" si="113"/>
        <v>0</v>
      </c>
      <c r="AF124">
        <f t="shared" si="114"/>
        <v>14.84</v>
      </c>
      <c r="AG124">
        <f t="shared" si="90"/>
        <v>0</v>
      </c>
      <c r="AH124">
        <f t="shared" si="115"/>
        <v>1.56</v>
      </c>
      <c r="AI124">
        <f t="shared" si="116"/>
        <v>0</v>
      </c>
      <c r="AJ124">
        <f t="shared" si="91"/>
        <v>0</v>
      </c>
      <c r="AK124">
        <v>35.979999999999997</v>
      </c>
      <c r="AL124">
        <v>20.09</v>
      </c>
      <c r="AM124">
        <v>1.05</v>
      </c>
      <c r="AN124">
        <v>0</v>
      </c>
      <c r="AO124">
        <v>14.84</v>
      </c>
      <c r="AP124">
        <v>0</v>
      </c>
      <c r="AQ124">
        <v>1.56</v>
      </c>
      <c r="AR124">
        <v>0</v>
      </c>
      <c r="AS124">
        <v>0</v>
      </c>
      <c r="AT124">
        <v>95</v>
      </c>
      <c r="AU124">
        <v>65</v>
      </c>
      <c r="AV124">
        <v>1</v>
      </c>
      <c r="AW124">
        <v>1</v>
      </c>
      <c r="AZ124">
        <v>6.61</v>
      </c>
      <c r="BA124">
        <v>6.61</v>
      </c>
      <c r="BB124">
        <v>6.61</v>
      </c>
      <c r="BC124">
        <v>6.61</v>
      </c>
      <c r="BD124" t="s">
        <v>3</v>
      </c>
      <c r="BE124" t="s">
        <v>3</v>
      </c>
      <c r="BF124" t="s">
        <v>3</v>
      </c>
      <c r="BG124" t="s">
        <v>3</v>
      </c>
      <c r="BH124">
        <v>0</v>
      </c>
      <c r="BI124">
        <v>2</v>
      </c>
      <c r="BJ124" t="s">
        <v>345</v>
      </c>
      <c r="BM124">
        <v>108001</v>
      </c>
      <c r="BN124">
        <v>0</v>
      </c>
      <c r="BO124" t="s">
        <v>3</v>
      </c>
      <c r="BP124">
        <v>0</v>
      </c>
      <c r="BQ124">
        <v>3</v>
      </c>
      <c r="BR124">
        <v>0</v>
      </c>
      <c r="BS124">
        <v>6.61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95</v>
      </c>
      <c r="CA124">
        <v>65</v>
      </c>
      <c r="CF124">
        <v>0</v>
      </c>
      <c r="CG124">
        <v>0</v>
      </c>
      <c r="CM124">
        <v>0</v>
      </c>
      <c r="CN124" t="s">
        <v>3</v>
      </c>
      <c r="CO124">
        <v>0</v>
      </c>
      <c r="CP124">
        <f t="shared" si="92"/>
        <v>475.65</v>
      </c>
      <c r="CQ124">
        <f t="shared" si="93"/>
        <v>132.79490000000001</v>
      </c>
      <c r="CR124">
        <f t="shared" si="94"/>
        <v>6.940500000000001</v>
      </c>
      <c r="CS124">
        <f t="shared" si="95"/>
        <v>0</v>
      </c>
      <c r="CT124">
        <f t="shared" si="96"/>
        <v>98.092399999999998</v>
      </c>
      <c r="CU124">
        <f t="shared" si="97"/>
        <v>0</v>
      </c>
      <c r="CV124">
        <f t="shared" si="98"/>
        <v>1.56</v>
      </c>
      <c r="CW124">
        <f t="shared" si="99"/>
        <v>0</v>
      </c>
      <c r="CX124">
        <f t="shared" si="100"/>
        <v>0</v>
      </c>
      <c r="CY124">
        <f t="shared" si="101"/>
        <v>186.37100000000001</v>
      </c>
      <c r="CZ124">
        <f t="shared" si="102"/>
        <v>127.51700000000001</v>
      </c>
      <c r="DC124" t="s">
        <v>3</v>
      </c>
      <c r="DD124" t="s">
        <v>3</v>
      </c>
      <c r="DE124" t="s">
        <v>3</v>
      </c>
      <c r="DF124" t="s">
        <v>3</v>
      </c>
      <c r="DG124" t="s">
        <v>3</v>
      </c>
      <c r="DH124" t="s">
        <v>3</v>
      </c>
      <c r="DI124" t="s">
        <v>3</v>
      </c>
      <c r="DJ124" t="s">
        <v>3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1013</v>
      </c>
      <c r="DV124" t="s">
        <v>263</v>
      </c>
      <c r="DW124" t="s">
        <v>263</v>
      </c>
      <c r="DX124">
        <v>1</v>
      </c>
      <c r="EE124">
        <v>39174386</v>
      </c>
      <c r="EF124">
        <v>3</v>
      </c>
      <c r="EG124" t="s">
        <v>268</v>
      </c>
      <c r="EH124">
        <v>0</v>
      </c>
      <c r="EI124" t="s">
        <v>3</v>
      </c>
      <c r="EJ124">
        <v>2</v>
      </c>
      <c r="EK124">
        <v>108001</v>
      </c>
      <c r="EL124" t="s">
        <v>269</v>
      </c>
      <c r="EM124" t="s">
        <v>270</v>
      </c>
      <c r="EO124" t="s">
        <v>3</v>
      </c>
      <c r="EQ124">
        <v>0</v>
      </c>
      <c r="ER124">
        <v>35.979999999999997</v>
      </c>
      <c r="ES124">
        <v>20.09</v>
      </c>
      <c r="ET124">
        <v>1.05</v>
      </c>
      <c r="EU124">
        <v>0</v>
      </c>
      <c r="EV124">
        <v>14.84</v>
      </c>
      <c r="EW124">
        <v>1.56</v>
      </c>
      <c r="EX124">
        <v>0</v>
      </c>
      <c r="EY124">
        <v>0</v>
      </c>
      <c r="FQ124">
        <v>0</v>
      </c>
      <c r="FR124">
        <f t="shared" si="103"/>
        <v>0</v>
      </c>
      <c r="FS124">
        <v>0</v>
      </c>
      <c r="FX124">
        <v>95</v>
      </c>
      <c r="FY124">
        <v>65</v>
      </c>
      <c r="GA124" t="s">
        <v>3</v>
      </c>
      <c r="GD124">
        <v>0</v>
      </c>
      <c r="GF124">
        <v>942868882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04"/>
        <v>0</v>
      </c>
      <c r="GM124">
        <f t="shared" si="105"/>
        <v>789.54</v>
      </c>
      <c r="GN124">
        <f t="shared" si="106"/>
        <v>0</v>
      </c>
      <c r="GO124">
        <f t="shared" si="107"/>
        <v>789.54</v>
      </c>
      <c r="GP124">
        <f t="shared" si="108"/>
        <v>0</v>
      </c>
      <c r="GR124">
        <v>0</v>
      </c>
      <c r="GS124">
        <v>3</v>
      </c>
      <c r="GT124">
        <v>0</v>
      </c>
      <c r="GU124" t="s">
        <v>3</v>
      </c>
      <c r="GV124">
        <f t="shared" si="109"/>
        <v>0</v>
      </c>
      <c r="GW124">
        <v>1</v>
      </c>
      <c r="GX124">
        <f t="shared" si="110"/>
        <v>0</v>
      </c>
      <c r="HA124">
        <v>0</v>
      </c>
      <c r="HB124">
        <v>0</v>
      </c>
      <c r="IK124">
        <v>0</v>
      </c>
    </row>
    <row r="125" spans="1:245" x14ac:dyDescent="0.2">
      <c r="A125">
        <v>18</v>
      </c>
      <c r="B125">
        <v>1</v>
      </c>
      <c r="C125">
        <v>200</v>
      </c>
      <c r="E125" t="s">
        <v>346</v>
      </c>
      <c r="F125" t="s">
        <v>347</v>
      </c>
      <c r="G125" t="s">
        <v>348</v>
      </c>
      <c r="H125" t="s">
        <v>50</v>
      </c>
      <c r="I125">
        <f>I124*J125</f>
        <v>2</v>
      </c>
      <c r="J125">
        <v>1</v>
      </c>
      <c r="O125">
        <f t="shared" si="78"/>
        <v>2102.77</v>
      </c>
      <c r="P125">
        <f t="shared" si="79"/>
        <v>2102.77</v>
      </c>
      <c r="Q125">
        <f t="shared" si="80"/>
        <v>0</v>
      </c>
      <c r="R125">
        <f t="shared" si="81"/>
        <v>0</v>
      </c>
      <c r="S125">
        <f t="shared" si="82"/>
        <v>0</v>
      </c>
      <c r="T125">
        <f t="shared" si="83"/>
        <v>0</v>
      </c>
      <c r="U125">
        <f t="shared" si="84"/>
        <v>0</v>
      </c>
      <c r="V125">
        <f t="shared" si="85"/>
        <v>0</v>
      </c>
      <c r="W125">
        <f t="shared" si="86"/>
        <v>0</v>
      </c>
      <c r="X125">
        <f t="shared" si="87"/>
        <v>0</v>
      </c>
      <c r="Y125">
        <f t="shared" si="88"/>
        <v>0</v>
      </c>
      <c r="AA125">
        <v>39616881</v>
      </c>
      <c r="AB125">
        <f t="shared" si="89"/>
        <v>159.06</v>
      </c>
      <c r="AC125">
        <f t="shared" si="111"/>
        <v>159.06</v>
      </c>
      <c r="AD125">
        <f t="shared" si="112"/>
        <v>0</v>
      </c>
      <c r="AE125">
        <f t="shared" si="113"/>
        <v>0</v>
      </c>
      <c r="AF125">
        <f t="shared" si="114"/>
        <v>0</v>
      </c>
      <c r="AG125">
        <f t="shared" si="90"/>
        <v>0</v>
      </c>
      <c r="AH125">
        <f t="shared" si="115"/>
        <v>0</v>
      </c>
      <c r="AI125">
        <f t="shared" si="116"/>
        <v>0</v>
      </c>
      <c r="AJ125">
        <f t="shared" si="91"/>
        <v>0</v>
      </c>
      <c r="AK125">
        <v>159.06</v>
      </c>
      <c r="AL125">
        <v>159.06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95</v>
      </c>
      <c r="AU125">
        <v>65</v>
      </c>
      <c r="AV125">
        <v>1</v>
      </c>
      <c r="AW125">
        <v>1</v>
      </c>
      <c r="AZ125">
        <v>6.61</v>
      </c>
      <c r="BA125">
        <v>1</v>
      </c>
      <c r="BB125">
        <v>1</v>
      </c>
      <c r="BC125">
        <v>6.61</v>
      </c>
      <c r="BD125" t="s">
        <v>3</v>
      </c>
      <c r="BE125" t="s">
        <v>3</v>
      </c>
      <c r="BF125" t="s">
        <v>3</v>
      </c>
      <c r="BG125" t="s">
        <v>3</v>
      </c>
      <c r="BH125">
        <v>3</v>
      </c>
      <c r="BI125">
        <v>2</v>
      </c>
      <c r="BJ125" t="s">
        <v>349</v>
      </c>
      <c r="BM125">
        <v>108001</v>
      </c>
      <c r="BN125">
        <v>0</v>
      </c>
      <c r="BO125" t="s">
        <v>3</v>
      </c>
      <c r="BP125">
        <v>0</v>
      </c>
      <c r="BQ125">
        <v>3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95</v>
      </c>
      <c r="CA125">
        <v>65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92"/>
        <v>2102.77</v>
      </c>
      <c r="CQ125">
        <f t="shared" si="93"/>
        <v>1051.3866</v>
      </c>
      <c r="CR125">
        <f t="shared" si="94"/>
        <v>0</v>
      </c>
      <c r="CS125">
        <f t="shared" si="95"/>
        <v>0</v>
      </c>
      <c r="CT125">
        <f t="shared" si="96"/>
        <v>0</v>
      </c>
      <c r="CU125">
        <f t="shared" si="97"/>
        <v>0</v>
      </c>
      <c r="CV125">
        <f t="shared" si="98"/>
        <v>0</v>
      </c>
      <c r="CW125">
        <f t="shared" si="99"/>
        <v>0</v>
      </c>
      <c r="CX125">
        <f t="shared" si="100"/>
        <v>0</v>
      </c>
      <c r="CY125">
        <f t="shared" si="101"/>
        <v>0</v>
      </c>
      <c r="CZ125">
        <f t="shared" si="102"/>
        <v>0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1010</v>
      </c>
      <c r="DV125" t="s">
        <v>50</v>
      </c>
      <c r="DW125" t="s">
        <v>50</v>
      </c>
      <c r="DX125">
        <v>1</v>
      </c>
      <c r="EE125">
        <v>39174386</v>
      </c>
      <c r="EF125">
        <v>3</v>
      </c>
      <c r="EG125" t="s">
        <v>268</v>
      </c>
      <c r="EH125">
        <v>0</v>
      </c>
      <c r="EI125" t="s">
        <v>3</v>
      </c>
      <c r="EJ125">
        <v>2</v>
      </c>
      <c r="EK125">
        <v>108001</v>
      </c>
      <c r="EL125" t="s">
        <v>269</v>
      </c>
      <c r="EM125" t="s">
        <v>270</v>
      </c>
      <c r="EO125" t="s">
        <v>3</v>
      </c>
      <c r="EQ125">
        <v>0</v>
      </c>
      <c r="ER125">
        <v>159.06</v>
      </c>
      <c r="ES125">
        <v>159.06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03"/>
        <v>0</v>
      </c>
      <c r="FS125">
        <v>0</v>
      </c>
      <c r="FX125">
        <v>95</v>
      </c>
      <c r="FY125">
        <v>65</v>
      </c>
      <c r="GA125" t="s">
        <v>3</v>
      </c>
      <c r="GD125">
        <v>0</v>
      </c>
      <c r="GF125">
        <v>1562455889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04"/>
        <v>0</v>
      </c>
      <c r="GM125">
        <f t="shared" si="105"/>
        <v>2102.77</v>
      </c>
      <c r="GN125">
        <f t="shared" si="106"/>
        <v>0</v>
      </c>
      <c r="GO125">
        <f t="shared" si="107"/>
        <v>2102.77</v>
      </c>
      <c r="GP125">
        <f t="shared" si="108"/>
        <v>0</v>
      </c>
      <c r="GR125">
        <v>0</v>
      </c>
      <c r="GS125">
        <v>3</v>
      </c>
      <c r="GT125">
        <v>0</v>
      </c>
      <c r="GU125" t="s">
        <v>3</v>
      </c>
      <c r="GV125">
        <f t="shared" si="109"/>
        <v>0</v>
      </c>
      <c r="GW125">
        <v>1</v>
      </c>
      <c r="GX125">
        <f t="shared" si="110"/>
        <v>0</v>
      </c>
      <c r="HA125">
        <v>0</v>
      </c>
      <c r="HB125">
        <v>0</v>
      </c>
      <c r="IK125">
        <v>0</v>
      </c>
    </row>
    <row r="126" spans="1:245" x14ac:dyDescent="0.2">
      <c r="A126">
        <v>17</v>
      </c>
      <c r="B126">
        <v>1</v>
      </c>
      <c r="C126">
        <f>ROW(SmtRes!A205)</f>
        <v>205</v>
      </c>
      <c r="D126">
        <f>ROW(EtalonRes!A190)</f>
        <v>190</v>
      </c>
      <c r="E126" t="s">
        <v>350</v>
      </c>
      <c r="F126" t="s">
        <v>351</v>
      </c>
      <c r="G126" t="s">
        <v>352</v>
      </c>
      <c r="H126" t="s">
        <v>263</v>
      </c>
      <c r="I126">
        <v>1</v>
      </c>
      <c r="J126">
        <v>0</v>
      </c>
      <c r="O126">
        <f t="shared" si="78"/>
        <v>76.08</v>
      </c>
      <c r="P126">
        <f t="shared" si="79"/>
        <v>2.64</v>
      </c>
      <c r="Q126">
        <f t="shared" si="80"/>
        <v>0</v>
      </c>
      <c r="R126">
        <f t="shared" si="81"/>
        <v>0</v>
      </c>
      <c r="S126">
        <f t="shared" si="82"/>
        <v>73.44</v>
      </c>
      <c r="T126">
        <f t="shared" si="83"/>
        <v>0</v>
      </c>
      <c r="U126">
        <f t="shared" si="84"/>
        <v>1.1200000000000001</v>
      </c>
      <c r="V126">
        <f t="shared" si="85"/>
        <v>0</v>
      </c>
      <c r="W126">
        <f t="shared" si="86"/>
        <v>0</v>
      </c>
      <c r="X126">
        <f t="shared" si="87"/>
        <v>69.77</v>
      </c>
      <c r="Y126">
        <f t="shared" si="88"/>
        <v>47.74</v>
      </c>
      <c r="AA126">
        <v>39616881</v>
      </c>
      <c r="AB126">
        <f t="shared" si="89"/>
        <v>11.51</v>
      </c>
      <c r="AC126">
        <f t="shared" si="111"/>
        <v>0.4</v>
      </c>
      <c r="AD126">
        <f t="shared" si="112"/>
        <v>0</v>
      </c>
      <c r="AE126">
        <f t="shared" si="113"/>
        <v>0</v>
      </c>
      <c r="AF126">
        <f t="shared" si="114"/>
        <v>11.11</v>
      </c>
      <c r="AG126">
        <f t="shared" si="90"/>
        <v>0</v>
      </c>
      <c r="AH126">
        <f t="shared" si="115"/>
        <v>1.1200000000000001</v>
      </c>
      <c r="AI126">
        <f t="shared" si="116"/>
        <v>0</v>
      </c>
      <c r="AJ126">
        <f t="shared" si="91"/>
        <v>0</v>
      </c>
      <c r="AK126">
        <v>11.51</v>
      </c>
      <c r="AL126">
        <v>0.4</v>
      </c>
      <c r="AM126">
        <v>0</v>
      </c>
      <c r="AN126">
        <v>0</v>
      </c>
      <c r="AO126">
        <v>11.11</v>
      </c>
      <c r="AP126">
        <v>0</v>
      </c>
      <c r="AQ126">
        <v>1.1200000000000001</v>
      </c>
      <c r="AR126">
        <v>0</v>
      </c>
      <c r="AS126">
        <v>0</v>
      </c>
      <c r="AT126">
        <v>95</v>
      </c>
      <c r="AU126">
        <v>65</v>
      </c>
      <c r="AV126">
        <v>1</v>
      </c>
      <c r="AW126">
        <v>1</v>
      </c>
      <c r="AZ126">
        <v>6.61</v>
      </c>
      <c r="BA126">
        <v>6.61</v>
      </c>
      <c r="BB126">
        <v>6.61</v>
      </c>
      <c r="BC126">
        <v>6.61</v>
      </c>
      <c r="BD126" t="s">
        <v>3</v>
      </c>
      <c r="BE126" t="s">
        <v>3</v>
      </c>
      <c r="BF126" t="s">
        <v>3</v>
      </c>
      <c r="BG126" t="s">
        <v>3</v>
      </c>
      <c r="BH126">
        <v>0</v>
      </c>
      <c r="BI126">
        <v>2</v>
      </c>
      <c r="BJ126" t="s">
        <v>353</v>
      </c>
      <c r="BM126">
        <v>108001</v>
      </c>
      <c r="BN126">
        <v>0</v>
      </c>
      <c r="BO126" t="s">
        <v>3</v>
      </c>
      <c r="BP126">
        <v>0</v>
      </c>
      <c r="BQ126">
        <v>3</v>
      </c>
      <c r="BR126">
        <v>0</v>
      </c>
      <c r="BS126">
        <v>6.61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95</v>
      </c>
      <c r="CA126">
        <v>65</v>
      </c>
      <c r="CF126">
        <v>0</v>
      </c>
      <c r="CG126">
        <v>0</v>
      </c>
      <c r="CM126">
        <v>0</v>
      </c>
      <c r="CN126" t="s">
        <v>3</v>
      </c>
      <c r="CO126">
        <v>0</v>
      </c>
      <c r="CP126">
        <f t="shared" si="92"/>
        <v>76.08</v>
      </c>
      <c r="CQ126">
        <f t="shared" si="93"/>
        <v>2.6440000000000001</v>
      </c>
      <c r="CR126">
        <f t="shared" si="94"/>
        <v>0</v>
      </c>
      <c r="CS126">
        <f t="shared" si="95"/>
        <v>0</v>
      </c>
      <c r="CT126">
        <f t="shared" si="96"/>
        <v>73.437100000000001</v>
      </c>
      <c r="CU126">
        <f t="shared" si="97"/>
        <v>0</v>
      </c>
      <c r="CV126">
        <f t="shared" si="98"/>
        <v>1.1200000000000001</v>
      </c>
      <c r="CW126">
        <f t="shared" si="99"/>
        <v>0</v>
      </c>
      <c r="CX126">
        <f t="shared" si="100"/>
        <v>0</v>
      </c>
      <c r="CY126">
        <f t="shared" si="101"/>
        <v>69.768000000000001</v>
      </c>
      <c r="CZ126">
        <f t="shared" si="102"/>
        <v>47.735999999999997</v>
      </c>
      <c r="DC126" t="s">
        <v>3</v>
      </c>
      <c r="DD126" t="s">
        <v>3</v>
      </c>
      <c r="DE126" t="s">
        <v>3</v>
      </c>
      <c r="DF126" t="s">
        <v>3</v>
      </c>
      <c r="DG126" t="s">
        <v>3</v>
      </c>
      <c r="DH126" t="s">
        <v>3</v>
      </c>
      <c r="DI126" t="s">
        <v>3</v>
      </c>
      <c r="DJ126" t="s">
        <v>3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1013</v>
      </c>
      <c r="DV126" t="s">
        <v>263</v>
      </c>
      <c r="DW126" t="s">
        <v>263</v>
      </c>
      <c r="DX126">
        <v>1</v>
      </c>
      <c r="EE126">
        <v>39174386</v>
      </c>
      <c r="EF126">
        <v>3</v>
      </c>
      <c r="EG126" t="s">
        <v>268</v>
      </c>
      <c r="EH126">
        <v>0</v>
      </c>
      <c r="EI126" t="s">
        <v>3</v>
      </c>
      <c r="EJ126">
        <v>2</v>
      </c>
      <c r="EK126">
        <v>108001</v>
      </c>
      <c r="EL126" t="s">
        <v>269</v>
      </c>
      <c r="EM126" t="s">
        <v>270</v>
      </c>
      <c r="EO126" t="s">
        <v>3</v>
      </c>
      <c r="EQ126">
        <v>0</v>
      </c>
      <c r="ER126">
        <v>11.51</v>
      </c>
      <c r="ES126">
        <v>0.4</v>
      </c>
      <c r="ET126">
        <v>0</v>
      </c>
      <c r="EU126">
        <v>0</v>
      </c>
      <c r="EV126">
        <v>11.11</v>
      </c>
      <c r="EW126">
        <v>1.1200000000000001</v>
      </c>
      <c r="EX126">
        <v>0</v>
      </c>
      <c r="EY126">
        <v>0</v>
      </c>
      <c r="FQ126">
        <v>0</v>
      </c>
      <c r="FR126">
        <f t="shared" si="103"/>
        <v>0</v>
      </c>
      <c r="FS126">
        <v>0</v>
      </c>
      <c r="FX126">
        <v>95</v>
      </c>
      <c r="FY126">
        <v>65</v>
      </c>
      <c r="GA126" t="s">
        <v>3</v>
      </c>
      <c r="GD126">
        <v>0</v>
      </c>
      <c r="GF126">
        <v>234181014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04"/>
        <v>0</v>
      </c>
      <c r="GM126">
        <f t="shared" si="105"/>
        <v>193.59</v>
      </c>
      <c r="GN126">
        <f t="shared" si="106"/>
        <v>0</v>
      </c>
      <c r="GO126">
        <f t="shared" si="107"/>
        <v>193.59</v>
      </c>
      <c r="GP126">
        <f t="shared" si="108"/>
        <v>0</v>
      </c>
      <c r="GR126">
        <v>0</v>
      </c>
      <c r="GS126">
        <v>3</v>
      </c>
      <c r="GT126">
        <v>0</v>
      </c>
      <c r="GU126" t="s">
        <v>3</v>
      </c>
      <c r="GV126">
        <f t="shared" si="109"/>
        <v>0</v>
      </c>
      <c r="GW126">
        <v>1</v>
      </c>
      <c r="GX126">
        <f t="shared" si="110"/>
        <v>0</v>
      </c>
      <c r="HA126">
        <v>0</v>
      </c>
      <c r="HB126">
        <v>0</v>
      </c>
      <c r="IK126">
        <v>0</v>
      </c>
    </row>
    <row r="127" spans="1:245" x14ac:dyDescent="0.2">
      <c r="A127">
        <v>18</v>
      </c>
      <c r="B127">
        <v>1</v>
      </c>
      <c r="C127">
        <v>204</v>
      </c>
      <c r="E127" t="s">
        <v>354</v>
      </c>
      <c r="F127" t="s">
        <v>355</v>
      </c>
      <c r="G127" t="s">
        <v>356</v>
      </c>
      <c r="H127" t="s">
        <v>50</v>
      </c>
      <c r="I127">
        <f>I126*J127</f>
        <v>1</v>
      </c>
      <c r="J127">
        <v>1</v>
      </c>
      <c r="O127">
        <f t="shared" si="78"/>
        <v>1217.17</v>
      </c>
      <c r="P127">
        <f t="shared" si="79"/>
        <v>1217.17</v>
      </c>
      <c r="Q127">
        <f t="shared" si="80"/>
        <v>0</v>
      </c>
      <c r="R127">
        <f t="shared" si="81"/>
        <v>0</v>
      </c>
      <c r="S127">
        <f t="shared" si="82"/>
        <v>0</v>
      </c>
      <c r="T127">
        <f t="shared" si="83"/>
        <v>0</v>
      </c>
      <c r="U127">
        <f t="shared" si="84"/>
        <v>0</v>
      </c>
      <c r="V127">
        <f t="shared" si="85"/>
        <v>0</v>
      </c>
      <c r="W127">
        <f t="shared" si="86"/>
        <v>0</v>
      </c>
      <c r="X127">
        <f t="shared" si="87"/>
        <v>0</v>
      </c>
      <c r="Y127">
        <f t="shared" si="88"/>
        <v>0</v>
      </c>
      <c r="AA127">
        <v>39616881</v>
      </c>
      <c r="AB127">
        <f t="shared" si="89"/>
        <v>184.14</v>
      </c>
      <c r="AC127">
        <f t="shared" si="111"/>
        <v>184.14</v>
      </c>
      <c r="AD127">
        <f t="shared" si="112"/>
        <v>0</v>
      </c>
      <c r="AE127">
        <f t="shared" si="113"/>
        <v>0</v>
      </c>
      <c r="AF127">
        <f t="shared" si="114"/>
        <v>0</v>
      </c>
      <c r="AG127">
        <f t="shared" si="90"/>
        <v>0</v>
      </c>
      <c r="AH127">
        <f t="shared" si="115"/>
        <v>0</v>
      </c>
      <c r="AI127">
        <f t="shared" si="116"/>
        <v>0</v>
      </c>
      <c r="AJ127">
        <f t="shared" si="91"/>
        <v>0</v>
      </c>
      <c r="AK127">
        <v>184.14</v>
      </c>
      <c r="AL127">
        <v>184.14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95</v>
      </c>
      <c r="AU127">
        <v>65</v>
      </c>
      <c r="AV127">
        <v>1</v>
      </c>
      <c r="AW127">
        <v>1</v>
      </c>
      <c r="AZ127">
        <v>6.61</v>
      </c>
      <c r="BA127">
        <v>1</v>
      </c>
      <c r="BB127">
        <v>1</v>
      </c>
      <c r="BC127">
        <v>6.61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2</v>
      </c>
      <c r="BJ127" t="s">
        <v>357</v>
      </c>
      <c r="BM127">
        <v>108001</v>
      </c>
      <c r="BN127">
        <v>0</v>
      </c>
      <c r="BO127" t="s">
        <v>3</v>
      </c>
      <c r="BP127">
        <v>0</v>
      </c>
      <c r="BQ127">
        <v>3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95</v>
      </c>
      <c r="CA127">
        <v>65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92"/>
        <v>1217.17</v>
      </c>
      <c r="CQ127">
        <f t="shared" si="93"/>
        <v>1217.1653999999999</v>
      </c>
      <c r="CR127">
        <f t="shared" si="94"/>
        <v>0</v>
      </c>
      <c r="CS127">
        <f t="shared" si="95"/>
        <v>0</v>
      </c>
      <c r="CT127">
        <f t="shared" si="96"/>
        <v>0</v>
      </c>
      <c r="CU127">
        <f t="shared" si="97"/>
        <v>0</v>
      </c>
      <c r="CV127">
        <f t="shared" si="98"/>
        <v>0</v>
      </c>
      <c r="CW127">
        <f t="shared" si="99"/>
        <v>0</v>
      </c>
      <c r="CX127">
        <f t="shared" si="100"/>
        <v>0</v>
      </c>
      <c r="CY127">
        <f t="shared" si="101"/>
        <v>0</v>
      </c>
      <c r="CZ127">
        <f t="shared" si="102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50</v>
      </c>
      <c r="DW127" t="s">
        <v>50</v>
      </c>
      <c r="DX127">
        <v>1</v>
      </c>
      <c r="EE127">
        <v>39174386</v>
      </c>
      <c r="EF127">
        <v>3</v>
      </c>
      <c r="EG127" t="s">
        <v>268</v>
      </c>
      <c r="EH127">
        <v>0</v>
      </c>
      <c r="EI127" t="s">
        <v>3</v>
      </c>
      <c r="EJ127">
        <v>2</v>
      </c>
      <c r="EK127">
        <v>108001</v>
      </c>
      <c r="EL127" t="s">
        <v>269</v>
      </c>
      <c r="EM127" t="s">
        <v>270</v>
      </c>
      <c r="EO127" t="s">
        <v>3</v>
      </c>
      <c r="EQ127">
        <v>0</v>
      </c>
      <c r="ER127">
        <v>184.14</v>
      </c>
      <c r="ES127">
        <v>184.14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03"/>
        <v>0</v>
      </c>
      <c r="FS127">
        <v>0</v>
      </c>
      <c r="FX127">
        <v>95</v>
      </c>
      <c r="FY127">
        <v>65</v>
      </c>
      <c r="GA127" t="s">
        <v>3</v>
      </c>
      <c r="GD127">
        <v>0</v>
      </c>
      <c r="GF127">
        <v>-771736519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04"/>
        <v>0</v>
      </c>
      <c r="GM127">
        <f t="shared" si="105"/>
        <v>1217.17</v>
      </c>
      <c r="GN127">
        <f t="shared" si="106"/>
        <v>0</v>
      </c>
      <c r="GO127">
        <f t="shared" si="107"/>
        <v>1217.17</v>
      </c>
      <c r="GP127">
        <f t="shared" si="108"/>
        <v>0</v>
      </c>
      <c r="GR127">
        <v>0</v>
      </c>
      <c r="GS127">
        <v>3</v>
      </c>
      <c r="GT127">
        <v>0</v>
      </c>
      <c r="GU127" t="s">
        <v>3</v>
      </c>
      <c r="GV127">
        <f t="shared" si="109"/>
        <v>0</v>
      </c>
      <c r="GW127">
        <v>1</v>
      </c>
      <c r="GX127">
        <f t="shared" si="110"/>
        <v>0</v>
      </c>
      <c r="HA127">
        <v>0</v>
      </c>
      <c r="HB127">
        <v>0</v>
      </c>
      <c r="IK127">
        <v>0</v>
      </c>
    </row>
    <row r="128" spans="1:245" x14ac:dyDescent="0.2">
      <c r="A128">
        <v>17</v>
      </c>
      <c r="B128">
        <v>1</v>
      </c>
      <c r="C128">
        <f>ROW(SmtRes!A212)</f>
        <v>212</v>
      </c>
      <c r="D128">
        <f>ROW(EtalonRes!A196)</f>
        <v>196</v>
      </c>
      <c r="E128" t="s">
        <v>358</v>
      </c>
      <c r="F128" t="s">
        <v>359</v>
      </c>
      <c r="G128" t="s">
        <v>360</v>
      </c>
      <c r="H128" t="s">
        <v>263</v>
      </c>
      <c r="I128">
        <v>1</v>
      </c>
      <c r="J128">
        <v>0</v>
      </c>
      <c r="O128">
        <f t="shared" si="78"/>
        <v>242.32</v>
      </c>
      <c r="P128">
        <f t="shared" si="79"/>
        <v>5.22</v>
      </c>
      <c r="Q128">
        <f t="shared" si="80"/>
        <v>93.99</v>
      </c>
      <c r="R128">
        <f t="shared" si="81"/>
        <v>13.29</v>
      </c>
      <c r="S128">
        <f t="shared" si="82"/>
        <v>143.11000000000001</v>
      </c>
      <c r="T128">
        <f t="shared" si="83"/>
        <v>0</v>
      </c>
      <c r="U128">
        <f t="shared" si="84"/>
        <v>2.25</v>
      </c>
      <c r="V128">
        <f t="shared" si="85"/>
        <v>0.16</v>
      </c>
      <c r="W128">
        <f t="shared" si="86"/>
        <v>0</v>
      </c>
      <c r="X128">
        <f t="shared" si="87"/>
        <v>148.58000000000001</v>
      </c>
      <c r="Y128">
        <f t="shared" si="88"/>
        <v>101.66</v>
      </c>
      <c r="AA128">
        <v>39616881</v>
      </c>
      <c r="AB128">
        <f t="shared" si="89"/>
        <v>36.659999999999997</v>
      </c>
      <c r="AC128">
        <f t="shared" si="111"/>
        <v>0.79</v>
      </c>
      <c r="AD128">
        <f t="shared" si="112"/>
        <v>14.22</v>
      </c>
      <c r="AE128">
        <f t="shared" si="113"/>
        <v>2.0099999999999998</v>
      </c>
      <c r="AF128">
        <f t="shared" si="114"/>
        <v>21.65</v>
      </c>
      <c r="AG128">
        <f t="shared" si="90"/>
        <v>0</v>
      </c>
      <c r="AH128">
        <f t="shared" si="115"/>
        <v>2.25</v>
      </c>
      <c r="AI128">
        <f t="shared" si="116"/>
        <v>0.16</v>
      </c>
      <c r="AJ128">
        <f t="shared" si="91"/>
        <v>0</v>
      </c>
      <c r="AK128">
        <v>36.659999999999997</v>
      </c>
      <c r="AL128">
        <v>0.79</v>
      </c>
      <c r="AM128">
        <v>14.22</v>
      </c>
      <c r="AN128">
        <v>2.0099999999999998</v>
      </c>
      <c r="AO128">
        <v>21.65</v>
      </c>
      <c r="AP128">
        <v>0</v>
      </c>
      <c r="AQ128">
        <v>2.25</v>
      </c>
      <c r="AR128">
        <v>0.16</v>
      </c>
      <c r="AS128">
        <v>0</v>
      </c>
      <c r="AT128">
        <v>95</v>
      </c>
      <c r="AU128">
        <v>65</v>
      </c>
      <c r="AV128">
        <v>1</v>
      </c>
      <c r="AW128">
        <v>1</v>
      </c>
      <c r="AZ128">
        <v>6.61</v>
      </c>
      <c r="BA128">
        <v>6.61</v>
      </c>
      <c r="BB128">
        <v>6.61</v>
      </c>
      <c r="BC128">
        <v>6.61</v>
      </c>
      <c r="BD128" t="s">
        <v>3</v>
      </c>
      <c r="BE128" t="s">
        <v>3</v>
      </c>
      <c r="BF128" t="s">
        <v>3</v>
      </c>
      <c r="BG128" t="s">
        <v>3</v>
      </c>
      <c r="BH128">
        <v>0</v>
      </c>
      <c r="BI128">
        <v>2</v>
      </c>
      <c r="BJ128" t="s">
        <v>361</v>
      </c>
      <c r="BM128">
        <v>108001</v>
      </c>
      <c r="BN128">
        <v>0</v>
      </c>
      <c r="BO128" t="s">
        <v>3</v>
      </c>
      <c r="BP128">
        <v>0</v>
      </c>
      <c r="BQ128">
        <v>3</v>
      </c>
      <c r="BR128">
        <v>0</v>
      </c>
      <c r="BS128">
        <v>6.61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95</v>
      </c>
      <c r="CA128">
        <v>65</v>
      </c>
      <c r="CF128">
        <v>0</v>
      </c>
      <c r="CG128">
        <v>0</v>
      </c>
      <c r="CM128">
        <v>0</v>
      </c>
      <c r="CN128" t="s">
        <v>3</v>
      </c>
      <c r="CO128">
        <v>0</v>
      </c>
      <c r="CP128">
        <f t="shared" si="92"/>
        <v>242.32</v>
      </c>
      <c r="CQ128">
        <f t="shared" si="93"/>
        <v>5.2219000000000007</v>
      </c>
      <c r="CR128">
        <f t="shared" si="94"/>
        <v>93.994200000000006</v>
      </c>
      <c r="CS128">
        <f t="shared" si="95"/>
        <v>13.286099999999999</v>
      </c>
      <c r="CT128">
        <f t="shared" si="96"/>
        <v>143.10650000000001</v>
      </c>
      <c r="CU128">
        <f t="shared" si="97"/>
        <v>0</v>
      </c>
      <c r="CV128">
        <f t="shared" si="98"/>
        <v>2.25</v>
      </c>
      <c r="CW128">
        <f t="shared" si="99"/>
        <v>0.16</v>
      </c>
      <c r="CX128">
        <f t="shared" si="100"/>
        <v>0</v>
      </c>
      <c r="CY128">
        <f t="shared" si="101"/>
        <v>148.58000000000001</v>
      </c>
      <c r="CZ128">
        <f t="shared" si="102"/>
        <v>101.66</v>
      </c>
      <c r="DC128" t="s">
        <v>3</v>
      </c>
      <c r="DD128" t="s">
        <v>3</v>
      </c>
      <c r="DE128" t="s">
        <v>3</v>
      </c>
      <c r="DF128" t="s">
        <v>3</v>
      </c>
      <c r="DG128" t="s">
        <v>3</v>
      </c>
      <c r="DH128" t="s">
        <v>3</v>
      </c>
      <c r="DI128" t="s">
        <v>3</v>
      </c>
      <c r="DJ128" t="s">
        <v>3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1013</v>
      </c>
      <c r="DV128" t="s">
        <v>263</v>
      </c>
      <c r="DW128" t="s">
        <v>263</v>
      </c>
      <c r="DX128">
        <v>1</v>
      </c>
      <c r="EE128">
        <v>39174386</v>
      </c>
      <c r="EF128">
        <v>3</v>
      </c>
      <c r="EG128" t="s">
        <v>268</v>
      </c>
      <c r="EH128">
        <v>0</v>
      </c>
      <c r="EI128" t="s">
        <v>3</v>
      </c>
      <c r="EJ128">
        <v>2</v>
      </c>
      <c r="EK128">
        <v>108001</v>
      </c>
      <c r="EL128" t="s">
        <v>269</v>
      </c>
      <c r="EM128" t="s">
        <v>270</v>
      </c>
      <c r="EO128" t="s">
        <v>3</v>
      </c>
      <c r="EQ128">
        <v>0</v>
      </c>
      <c r="ER128">
        <v>36.659999999999997</v>
      </c>
      <c r="ES128">
        <v>0.79</v>
      </c>
      <c r="ET128">
        <v>14.22</v>
      </c>
      <c r="EU128">
        <v>2.0099999999999998</v>
      </c>
      <c r="EV128">
        <v>21.65</v>
      </c>
      <c r="EW128">
        <v>2.25</v>
      </c>
      <c r="EX128">
        <v>0.16</v>
      </c>
      <c r="EY128">
        <v>0</v>
      </c>
      <c r="FQ128">
        <v>0</v>
      </c>
      <c r="FR128">
        <f t="shared" si="103"/>
        <v>0</v>
      </c>
      <c r="FS128">
        <v>0</v>
      </c>
      <c r="FX128">
        <v>95</v>
      </c>
      <c r="FY128">
        <v>65</v>
      </c>
      <c r="GA128" t="s">
        <v>3</v>
      </c>
      <c r="GD128">
        <v>0</v>
      </c>
      <c r="GF128">
        <v>-126302527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04"/>
        <v>0</v>
      </c>
      <c r="GM128">
        <f t="shared" si="105"/>
        <v>492.56</v>
      </c>
      <c r="GN128">
        <f t="shared" si="106"/>
        <v>0</v>
      </c>
      <c r="GO128">
        <f t="shared" si="107"/>
        <v>492.56</v>
      </c>
      <c r="GP128">
        <f t="shared" si="108"/>
        <v>0</v>
      </c>
      <c r="GR128">
        <v>0</v>
      </c>
      <c r="GS128">
        <v>3</v>
      </c>
      <c r="GT128">
        <v>0</v>
      </c>
      <c r="GU128" t="s">
        <v>3</v>
      </c>
      <c r="GV128">
        <f t="shared" si="109"/>
        <v>0</v>
      </c>
      <c r="GW128">
        <v>1</v>
      </c>
      <c r="GX128">
        <f t="shared" si="110"/>
        <v>0</v>
      </c>
      <c r="HA128">
        <v>0</v>
      </c>
      <c r="HB128">
        <v>0</v>
      </c>
      <c r="IK128">
        <v>0</v>
      </c>
    </row>
    <row r="129" spans="1:245" x14ac:dyDescent="0.2">
      <c r="A129">
        <v>18</v>
      </c>
      <c r="B129">
        <v>1</v>
      </c>
      <c r="C129">
        <v>211</v>
      </c>
      <c r="E129" t="s">
        <v>362</v>
      </c>
      <c r="F129" t="s">
        <v>363</v>
      </c>
      <c r="G129" t="s">
        <v>364</v>
      </c>
      <c r="H129" t="s">
        <v>50</v>
      </c>
      <c r="I129">
        <f>I128*J129</f>
        <v>1</v>
      </c>
      <c r="J129">
        <v>1</v>
      </c>
      <c r="O129">
        <f t="shared" si="78"/>
        <v>1579</v>
      </c>
      <c r="P129">
        <f t="shared" si="79"/>
        <v>1579</v>
      </c>
      <c r="Q129">
        <f t="shared" si="80"/>
        <v>0</v>
      </c>
      <c r="R129">
        <f t="shared" si="81"/>
        <v>0</v>
      </c>
      <c r="S129">
        <f t="shared" si="82"/>
        <v>0</v>
      </c>
      <c r="T129">
        <f t="shared" si="83"/>
        <v>0</v>
      </c>
      <c r="U129">
        <f t="shared" si="84"/>
        <v>0</v>
      </c>
      <c r="V129">
        <f t="shared" si="85"/>
        <v>0</v>
      </c>
      <c r="W129">
        <f t="shared" si="86"/>
        <v>0</v>
      </c>
      <c r="X129">
        <f t="shared" si="87"/>
        <v>0</v>
      </c>
      <c r="Y129">
        <f t="shared" si="88"/>
        <v>0</v>
      </c>
      <c r="AA129">
        <v>39616881</v>
      </c>
      <c r="AB129">
        <f t="shared" si="89"/>
        <v>238.88</v>
      </c>
      <c r="AC129">
        <f t="shared" si="111"/>
        <v>238.88</v>
      </c>
      <c r="AD129">
        <f t="shared" si="112"/>
        <v>0</v>
      </c>
      <c r="AE129">
        <f t="shared" si="113"/>
        <v>0</v>
      </c>
      <c r="AF129">
        <f t="shared" si="114"/>
        <v>0</v>
      </c>
      <c r="AG129">
        <f t="shared" si="90"/>
        <v>0</v>
      </c>
      <c r="AH129">
        <f t="shared" si="115"/>
        <v>0</v>
      </c>
      <c r="AI129">
        <f t="shared" si="116"/>
        <v>0</v>
      </c>
      <c r="AJ129">
        <f t="shared" si="91"/>
        <v>0</v>
      </c>
      <c r="AK129">
        <v>238.88</v>
      </c>
      <c r="AL129">
        <v>238.88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65</v>
      </c>
      <c r="AV129">
        <v>1</v>
      </c>
      <c r="AW129">
        <v>1</v>
      </c>
      <c r="AZ129">
        <v>6.61</v>
      </c>
      <c r="BA129">
        <v>1</v>
      </c>
      <c r="BB129">
        <v>1</v>
      </c>
      <c r="BC129">
        <v>6.61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2</v>
      </c>
      <c r="BJ129" t="s">
        <v>365</v>
      </c>
      <c r="BM129">
        <v>108001</v>
      </c>
      <c r="BN129">
        <v>0</v>
      </c>
      <c r="BO129" t="s">
        <v>3</v>
      </c>
      <c r="BP129">
        <v>0</v>
      </c>
      <c r="BQ129">
        <v>3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95</v>
      </c>
      <c r="CA129">
        <v>65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92"/>
        <v>1579</v>
      </c>
      <c r="CQ129">
        <f t="shared" si="93"/>
        <v>1578.9968000000001</v>
      </c>
      <c r="CR129">
        <f t="shared" si="94"/>
        <v>0</v>
      </c>
      <c r="CS129">
        <f t="shared" si="95"/>
        <v>0</v>
      </c>
      <c r="CT129">
        <f t="shared" si="96"/>
        <v>0</v>
      </c>
      <c r="CU129">
        <f t="shared" si="97"/>
        <v>0</v>
      </c>
      <c r="CV129">
        <f t="shared" si="98"/>
        <v>0</v>
      </c>
      <c r="CW129">
        <f t="shared" si="99"/>
        <v>0</v>
      </c>
      <c r="CX129">
        <f t="shared" si="100"/>
        <v>0</v>
      </c>
      <c r="CY129">
        <f t="shared" si="101"/>
        <v>0</v>
      </c>
      <c r="CZ129">
        <f t="shared" si="102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1010</v>
      </c>
      <c r="DV129" t="s">
        <v>50</v>
      </c>
      <c r="DW129" t="s">
        <v>50</v>
      </c>
      <c r="DX129">
        <v>1</v>
      </c>
      <c r="EE129">
        <v>39174386</v>
      </c>
      <c r="EF129">
        <v>3</v>
      </c>
      <c r="EG129" t="s">
        <v>268</v>
      </c>
      <c r="EH129">
        <v>0</v>
      </c>
      <c r="EI129" t="s">
        <v>3</v>
      </c>
      <c r="EJ129">
        <v>2</v>
      </c>
      <c r="EK129">
        <v>108001</v>
      </c>
      <c r="EL129" t="s">
        <v>269</v>
      </c>
      <c r="EM129" t="s">
        <v>270</v>
      </c>
      <c r="EO129" t="s">
        <v>3</v>
      </c>
      <c r="EQ129">
        <v>0</v>
      </c>
      <c r="ER129">
        <v>238.88</v>
      </c>
      <c r="ES129">
        <v>238.88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03"/>
        <v>0</v>
      </c>
      <c r="FS129">
        <v>0</v>
      </c>
      <c r="FX129">
        <v>95</v>
      </c>
      <c r="FY129">
        <v>65</v>
      </c>
      <c r="GA129" t="s">
        <v>3</v>
      </c>
      <c r="GD129">
        <v>0</v>
      </c>
      <c r="GF129">
        <v>-428174486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04"/>
        <v>0</v>
      </c>
      <c r="GM129">
        <f t="shared" si="105"/>
        <v>1579</v>
      </c>
      <c r="GN129">
        <f t="shared" si="106"/>
        <v>0</v>
      </c>
      <c r="GO129">
        <f t="shared" si="107"/>
        <v>1579</v>
      </c>
      <c r="GP129">
        <f t="shared" si="108"/>
        <v>0</v>
      </c>
      <c r="GR129">
        <v>0</v>
      </c>
      <c r="GS129">
        <v>3</v>
      </c>
      <c r="GT129">
        <v>0</v>
      </c>
      <c r="GU129" t="s">
        <v>3</v>
      </c>
      <c r="GV129">
        <f t="shared" si="109"/>
        <v>0</v>
      </c>
      <c r="GW129">
        <v>1</v>
      </c>
      <c r="GX129">
        <f t="shared" si="110"/>
        <v>0</v>
      </c>
      <c r="HA129">
        <v>0</v>
      </c>
      <c r="HB129">
        <v>0</v>
      </c>
      <c r="IK129">
        <v>0</v>
      </c>
    </row>
    <row r="131" spans="1:245" x14ac:dyDescent="0.2">
      <c r="A131" s="2">
        <v>51</v>
      </c>
      <c r="B131" s="2">
        <f>B101</f>
        <v>1</v>
      </c>
      <c r="C131" s="2">
        <f>A101</f>
        <v>4</v>
      </c>
      <c r="D131" s="2">
        <f>ROW(A101)</f>
        <v>101</v>
      </c>
      <c r="E131" s="2"/>
      <c r="F131" s="2" t="str">
        <f>IF(F101&lt;&gt;"",F101,"")</f>
        <v>Новый раздел</v>
      </c>
      <c r="G131" s="2" t="str">
        <f>IF(G101&lt;&gt;"",G101,"")</f>
        <v>2 Система электроснабжения</v>
      </c>
      <c r="H131" s="2">
        <v>0</v>
      </c>
      <c r="I131" s="2"/>
      <c r="J131" s="2"/>
      <c r="K131" s="2"/>
      <c r="L131" s="2"/>
      <c r="M131" s="2"/>
      <c r="N131" s="2"/>
      <c r="O131" s="2">
        <f t="shared" ref="O131:T131" si="117">ROUND(AB131,2)</f>
        <v>128181.07</v>
      </c>
      <c r="P131" s="2">
        <f t="shared" si="117"/>
        <v>122914.63</v>
      </c>
      <c r="Q131" s="2">
        <f t="shared" si="117"/>
        <v>385.36</v>
      </c>
      <c r="R131" s="2">
        <f t="shared" si="117"/>
        <v>54.32</v>
      </c>
      <c r="S131" s="2">
        <f t="shared" si="117"/>
        <v>4881.08</v>
      </c>
      <c r="T131" s="2">
        <f t="shared" si="117"/>
        <v>0</v>
      </c>
      <c r="U131" s="2">
        <f>AH131</f>
        <v>77.084700000000012</v>
      </c>
      <c r="V131" s="2">
        <f>AI131</f>
        <v>0.65200000000000002</v>
      </c>
      <c r="W131" s="2">
        <f>ROUND(AJ131,2)</f>
        <v>0</v>
      </c>
      <c r="X131" s="2">
        <f>ROUND(AK131,2)</f>
        <v>4653.4799999999996</v>
      </c>
      <c r="Y131" s="2">
        <f>ROUND(AL131,2)</f>
        <v>3208</v>
      </c>
      <c r="Z131" s="2"/>
      <c r="AA131" s="2"/>
      <c r="AB131" s="2">
        <f>ROUND(SUMIF(AA105:AA129,"=39616881",O105:O129),2)</f>
        <v>128181.07</v>
      </c>
      <c r="AC131" s="2">
        <f>ROUND(SUMIF(AA105:AA129,"=39616881",P105:P129),2)</f>
        <v>122914.63</v>
      </c>
      <c r="AD131" s="2">
        <f>ROUND(SUMIF(AA105:AA129,"=39616881",Q105:Q129),2)</f>
        <v>385.36</v>
      </c>
      <c r="AE131" s="2">
        <f>ROUND(SUMIF(AA105:AA129,"=39616881",R105:R129),2)</f>
        <v>54.32</v>
      </c>
      <c r="AF131" s="2">
        <f>ROUND(SUMIF(AA105:AA129,"=39616881",S105:S129),2)</f>
        <v>4881.08</v>
      </c>
      <c r="AG131" s="2">
        <f>ROUND(SUMIF(AA105:AA129,"=39616881",T105:T129),2)</f>
        <v>0</v>
      </c>
      <c r="AH131" s="2">
        <f>SUMIF(AA105:AA129,"=39616881",U105:U129)</f>
        <v>77.084700000000012</v>
      </c>
      <c r="AI131" s="2">
        <f>SUMIF(AA105:AA129,"=39616881",V105:V129)</f>
        <v>0.65200000000000002</v>
      </c>
      <c r="AJ131" s="2">
        <f>ROUND(SUMIF(AA105:AA129,"=39616881",W105:W129),2)</f>
        <v>0</v>
      </c>
      <c r="AK131" s="2">
        <f>ROUND(SUMIF(AA105:AA129,"=39616881",X105:X129),2)</f>
        <v>4653.4799999999996</v>
      </c>
      <c r="AL131" s="2">
        <f>ROUND(SUMIF(AA105:AA129,"=39616881",Y105:Y129),2)</f>
        <v>3208</v>
      </c>
      <c r="AM131" s="2"/>
      <c r="AN131" s="2"/>
      <c r="AO131" s="2">
        <f t="shared" ref="AO131:BC131" si="118">ROUND(BX131,2)</f>
        <v>0</v>
      </c>
      <c r="AP131" s="2">
        <f t="shared" si="118"/>
        <v>0</v>
      </c>
      <c r="AQ131" s="2">
        <f t="shared" si="118"/>
        <v>0</v>
      </c>
      <c r="AR131" s="2">
        <f t="shared" si="118"/>
        <v>136042.54999999999</v>
      </c>
      <c r="AS131" s="2">
        <f t="shared" si="118"/>
        <v>881.73</v>
      </c>
      <c r="AT131" s="2">
        <f t="shared" si="118"/>
        <v>135160.82</v>
      </c>
      <c r="AU131" s="2">
        <f t="shared" si="118"/>
        <v>0</v>
      </c>
      <c r="AV131" s="2">
        <f t="shared" si="118"/>
        <v>122914.63</v>
      </c>
      <c r="AW131" s="2">
        <f t="shared" si="118"/>
        <v>122914.63</v>
      </c>
      <c r="AX131" s="2">
        <f t="shared" si="118"/>
        <v>0</v>
      </c>
      <c r="AY131" s="2">
        <f t="shared" si="118"/>
        <v>122914.63</v>
      </c>
      <c r="AZ131" s="2">
        <f t="shared" si="118"/>
        <v>0</v>
      </c>
      <c r="BA131" s="2">
        <f t="shared" si="118"/>
        <v>0</v>
      </c>
      <c r="BB131" s="2">
        <f t="shared" si="118"/>
        <v>0</v>
      </c>
      <c r="BC131" s="2">
        <f t="shared" si="118"/>
        <v>0</v>
      </c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>
        <f>ROUND(SUMIF(AA105:AA129,"=39616881",FQ105:FQ129),2)</f>
        <v>0</v>
      </c>
      <c r="BY131" s="2">
        <f>ROUND(SUMIF(AA105:AA129,"=39616881",FR105:FR129),2)</f>
        <v>0</v>
      </c>
      <c r="BZ131" s="2">
        <f>ROUND(SUMIF(AA105:AA129,"=39616881",GL105:GL129),2)</f>
        <v>0</v>
      </c>
      <c r="CA131" s="2">
        <f>ROUND(SUMIF(AA105:AA129,"=39616881",GM105:GM129),2)</f>
        <v>136042.54999999999</v>
      </c>
      <c r="CB131" s="2">
        <f>ROUND(SUMIF(AA105:AA129,"=39616881",GN105:GN129),2)</f>
        <v>881.73</v>
      </c>
      <c r="CC131" s="2">
        <f>ROUND(SUMIF(AA105:AA129,"=39616881",GO105:GO129),2)</f>
        <v>135160.82</v>
      </c>
      <c r="CD131" s="2">
        <f>ROUND(SUMIF(AA105:AA129,"=39616881",GP105:GP129),2)</f>
        <v>0</v>
      </c>
      <c r="CE131" s="2">
        <f>AC131-BX131</f>
        <v>122914.63</v>
      </c>
      <c r="CF131" s="2">
        <f>AC131-BY131</f>
        <v>122914.63</v>
      </c>
      <c r="CG131" s="2">
        <f>BX131-BZ131</f>
        <v>0</v>
      </c>
      <c r="CH131" s="2">
        <f>AC131-BX131-BY131+BZ131</f>
        <v>122914.63</v>
      </c>
      <c r="CI131" s="2">
        <f>BY131-BZ131</f>
        <v>0</v>
      </c>
      <c r="CJ131" s="2">
        <f>ROUND(SUMIF(AA105:AA129,"=39616881",GX105:GX129),2)</f>
        <v>0</v>
      </c>
      <c r="CK131" s="2">
        <f>ROUND(SUMIF(AA105:AA129,"=39616881",GY105:GY129),2)</f>
        <v>0</v>
      </c>
      <c r="CL131" s="2">
        <f>ROUND(SUMIF(AA105:AA129,"=39616881",GZ105:GZ129),2)</f>
        <v>0</v>
      </c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>
        <v>0</v>
      </c>
    </row>
    <row r="133" spans="1:245" x14ac:dyDescent="0.2">
      <c r="A133" s="4">
        <v>50</v>
      </c>
      <c r="B133" s="4">
        <v>0</v>
      </c>
      <c r="C133" s="4">
        <v>0</v>
      </c>
      <c r="D133" s="4">
        <v>1</v>
      </c>
      <c r="E133" s="4">
        <v>201</v>
      </c>
      <c r="F133" s="4">
        <f>ROUND(Source!O131,O133)</f>
        <v>128181.07</v>
      </c>
      <c r="G133" s="4" t="s">
        <v>201</v>
      </c>
      <c r="H133" s="4" t="s">
        <v>202</v>
      </c>
      <c r="I133" s="4"/>
      <c r="J133" s="4"/>
      <c r="K133" s="4">
        <v>201</v>
      </c>
      <c r="L133" s="4">
        <v>1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45" x14ac:dyDescent="0.2">
      <c r="A134" s="4">
        <v>50</v>
      </c>
      <c r="B134" s="4">
        <v>0</v>
      </c>
      <c r="C134" s="4">
        <v>0</v>
      </c>
      <c r="D134" s="4">
        <v>1</v>
      </c>
      <c r="E134" s="4">
        <v>202</v>
      </c>
      <c r="F134" s="4">
        <f>ROUND(Source!P131,O134)</f>
        <v>122914.63</v>
      </c>
      <c r="G134" s="4" t="s">
        <v>203</v>
      </c>
      <c r="H134" s="4" t="s">
        <v>204</v>
      </c>
      <c r="I134" s="4"/>
      <c r="J134" s="4"/>
      <c r="K134" s="4">
        <v>202</v>
      </c>
      <c r="L134" s="4">
        <v>2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45" x14ac:dyDescent="0.2">
      <c r="A135" s="4">
        <v>50</v>
      </c>
      <c r="B135" s="4">
        <v>0</v>
      </c>
      <c r="C135" s="4">
        <v>0</v>
      </c>
      <c r="D135" s="4">
        <v>1</v>
      </c>
      <c r="E135" s="4">
        <v>222</v>
      </c>
      <c r="F135" s="4">
        <f>ROUND(Source!AO131,O135)</f>
        <v>0</v>
      </c>
      <c r="G135" s="4" t="s">
        <v>205</v>
      </c>
      <c r="H135" s="4" t="s">
        <v>206</v>
      </c>
      <c r="I135" s="4"/>
      <c r="J135" s="4"/>
      <c r="K135" s="4">
        <v>222</v>
      </c>
      <c r="L135" s="4">
        <v>3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45" x14ac:dyDescent="0.2">
      <c r="A136" s="4">
        <v>50</v>
      </c>
      <c r="B136" s="4">
        <v>0</v>
      </c>
      <c r="C136" s="4">
        <v>0</v>
      </c>
      <c r="D136" s="4">
        <v>1</v>
      </c>
      <c r="E136" s="4">
        <v>225</v>
      </c>
      <c r="F136" s="4">
        <f>ROUND(Source!AV131,O136)</f>
        <v>122914.63</v>
      </c>
      <c r="G136" s="4" t="s">
        <v>207</v>
      </c>
      <c r="H136" s="4" t="s">
        <v>208</v>
      </c>
      <c r="I136" s="4"/>
      <c r="J136" s="4"/>
      <c r="K136" s="4">
        <v>225</v>
      </c>
      <c r="L136" s="4">
        <v>4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45" x14ac:dyDescent="0.2">
      <c r="A137" s="4">
        <v>50</v>
      </c>
      <c r="B137" s="4">
        <v>0</v>
      </c>
      <c r="C137" s="4">
        <v>0</v>
      </c>
      <c r="D137" s="4">
        <v>1</v>
      </c>
      <c r="E137" s="4">
        <v>226</v>
      </c>
      <c r="F137" s="4">
        <f>ROUND(Source!AW131,O137)</f>
        <v>122914.63</v>
      </c>
      <c r="G137" s="4" t="s">
        <v>209</v>
      </c>
      <c r="H137" s="4" t="s">
        <v>210</v>
      </c>
      <c r="I137" s="4"/>
      <c r="J137" s="4"/>
      <c r="K137" s="4">
        <v>226</v>
      </c>
      <c r="L137" s="4">
        <v>5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45" x14ac:dyDescent="0.2">
      <c r="A138" s="4">
        <v>50</v>
      </c>
      <c r="B138" s="4">
        <v>0</v>
      </c>
      <c r="C138" s="4">
        <v>0</v>
      </c>
      <c r="D138" s="4">
        <v>1</v>
      </c>
      <c r="E138" s="4">
        <v>227</v>
      </c>
      <c r="F138" s="4">
        <f>ROUND(Source!AX131,O138)</f>
        <v>0</v>
      </c>
      <c r="G138" s="4" t="s">
        <v>211</v>
      </c>
      <c r="H138" s="4" t="s">
        <v>212</v>
      </c>
      <c r="I138" s="4"/>
      <c r="J138" s="4"/>
      <c r="K138" s="4">
        <v>227</v>
      </c>
      <c r="L138" s="4">
        <v>6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45" x14ac:dyDescent="0.2">
      <c r="A139" s="4">
        <v>50</v>
      </c>
      <c r="B139" s="4">
        <v>0</v>
      </c>
      <c r="C139" s="4">
        <v>0</v>
      </c>
      <c r="D139" s="4">
        <v>1</v>
      </c>
      <c r="E139" s="4">
        <v>228</v>
      </c>
      <c r="F139" s="4">
        <f>ROUND(Source!AY131,O139)</f>
        <v>122914.63</v>
      </c>
      <c r="G139" s="4" t="s">
        <v>213</v>
      </c>
      <c r="H139" s="4" t="s">
        <v>214</v>
      </c>
      <c r="I139" s="4"/>
      <c r="J139" s="4"/>
      <c r="K139" s="4">
        <v>228</v>
      </c>
      <c r="L139" s="4">
        <v>7</v>
      </c>
      <c r="M139" s="4">
        <v>3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45" x14ac:dyDescent="0.2">
      <c r="A140" s="4">
        <v>50</v>
      </c>
      <c r="B140" s="4">
        <v>0</v>
      </c>
      <c r="C140" s="4">
        <v>0</v>
      </c>
      <c r="D140" s="4">
        <v>1</v>
      </c>
      <c r="E140" s="4">
        <v>216</v>
      </c>
      <c r="F140" s="4">
        <f>ROUND(Source!AP131,O140)</f>
        <v>0</v>
      </c>
      <c r="G140" s="4" t="s">
        <v>215</v>
      </c>
      <c r="H140" s="4" t="s">
        <v>216</v>
      </c>
      <c r="I140" s="4"/>
      <c r="J140" s="4"/>
      <c r="K140" s="4">
        <v>216</v>
      </c>
      <c r="L140" s="4">
        <v>8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45" x14ac:dyDescent="0.2">
      <c r="A141" s="4">
        <v>50</v>
      </c>
      <c r="B141" s="4">
        <v>0</v>
      </c>
      <c r="C141" s="4">
        <v>0</v>
      </c>
      <c r="D141" s="4">
        <v>1</v>
      </c>
      <c r="E141" s="4">
        <v>223</v>
      </c>
      <c r="F141" s="4">
        <f>ROUND(Source!AQ131,O141)</f>
        <v>0</v>
      </c>
      <c r="G141" s="4" t="s">
        <v>217</v>
      </c>
      <c r="H141" s="4" t="s">
        <v>218</v>
      </c>
      <c r="I141" s="4"/>
      <c r="J141" s="4"/>
      <c r="K141" s="4">
        <v>223</v>
      </c>
      <c r="L141" s="4">
        <v>9</v>
      </c>
      <c r="M141" s="4">
        <v>3</v>
      </c>
      <c r="N141" s="4" t="s">
        <v>3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45" x14ac:dyDescent="0.2">
      <c r="A142" s="4">
        <v>50</v>
      </c>
      <c r="B142" s="4">
        <v>0</v>
      </c>
      <c r="C142" s="4">
        <v>0</v>
      </c>
      <c r="D142" s="4">
        <v>1</v>
      </c>
      <c r="E142" s="4">
        <v>229</v>
      </c>
      <c r="F142" s="4">
        <f>ROUND(Source!AZ131,O142)</f>
        <v>0</v>
      </c>
      <c r="G142" s="4" t="s">
        <v>219</v>
      </c>
      <c r="H142" s="4" t="s">
        <v>220</v>
      </c>
      <c r="I142" s="4"/>
      <c r="J142" s="4"/>
      <c r="K142" s="4">
        <v>229</v>
      </c>
      <c r="L142" s="4">
        <v>10</v>
      </c>
      <c r="M142" s="4">
        <v>3</v>
      </c>
      <c r="N142" s="4" t="s">
        <v>3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45" x14ac:dyDescent="0.2">
      <c r="A143" s="4">
        <v>50</v>
      </c>
      <c r="B143" s="4">
        <v>0</v>
      </c>
      <c r="C143" s="4">
        <v>0</v>
      </c>
      <c r="D143" s="4">
        <v>1</v>
      </c>
      <c r="E143" s="4">
        <v>203</v>
      </c>
      <c r="F143" s="4">
        <f>ROUND(Source!Q131,O143)</f>
        <v>385.36</v>
      </c>
      <c r="G143" s="4" t="s">
        <v>221</v>
      </c>
      <c r="H143" s="4" t="s">
        <v>222</v>
      </c>
      <c r="I143" s="4"/>
      <c r="J143" s="4"/>
      <c r="K143" s="4">
        <v>203</v>
      </c>
      <c r="L143" s="4">
        <v>11</v>
      </c>
      <c r="M143" s="4">
        <v>3</v>
      </c>
      <c r="N143" s="4" t="s">
        <v>3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45" x14ac:dyDescent="0.2">
      <c r="A144" s="4">
        <v>50</v>
      </c>
      <c r="B144" s="4">
        <v>0</v>
      </c>
      <c r="C144" s="4">
        <v>0</v>
      </c>
      <c r="D144" s="4">
        <v>1</v>
      </c>
      <c r="E144" s="4">
        <v>231</v>
      </c>
      <c r="F144" s="4">
        <f>ROUND(Source!BB131,O144)</f>
        <v>0</v>
      </c>
      <c r="G144" s="4" t="s">
        <v>223</v>
      </c>
      <c r="H144" s="4" t="s">
        <v>224</v>
      </c>
      <c r="I144" s="4"/>
      <c r="J144" s="4"/>
      <c r="K144" s="4">
        <v>231</v>
      </c>
      <c r="L144" s="4">
        <v>12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88" x14ac:dyDescent="0.2">
      <c r="A145" s="4">
        <v>50</v>
      </c>
      <c r="B145" s="4">
        <v>0</v>
      </c>
      <c r="C145" s="4">
        <v>0</v>
      </c>
      <c r="D145" s="4">
        <v>1</v>
      </c>
      <c r="E145" s="4">
        <v>204</v>
      </c>
      <c r="F145" s="4">
        <f>ROUND(Source!R131,O145)</f>
        <v>54.32</v>
      </c>
      <c r="G145" s="4" t="s">
        <v>225</v>
      </c>
      <c r="H145" s="4" t="s">
        <v>226</v>
      </c>
      <c r="I145" s="4"/>
      <c r="J145" s="4"/>
      <c r="K145" s="4">
        <v>204</v>
      </c>
      <c r="L145" s="4">
        <v>13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88" x14ac:dyDescent="0.2">
      <c r="A146" s="4">
        <v>50</v>
      </c>
      <c r="B146" s="4">
        <v>0</v>
      </c>
      <c r="C146" s="4">
        <v>0</v>
      </c>
      <c r="D146" s="4">
        <v>1</v>
      </c>
      <c r="E146" s="4">
        <v>205</v>
      </c>
      <c r="F146" s="4">
        <f>ROUND(Source!S131,O146)</f>
        <v>4881.08</v>
      </c>
      <c r="G146" s="4" t="s">
        <v>227</v>
      </c>
      <c r="H146" s="4" t="s">
        <v>228</v>
      </c>
      <c r="I146" s="4"/>
      <c r="J146" s="4"/>
      <c r="K146" s="4">
        <v>205</v>
      </c>
      <c r="L146" s="4">
        <v>14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88" x14ac:dyDescent="0.2">
      <c r="A147" s="4">
        <v>50</v>
      </c>
      <c r="B147" s="4">
        <v>0</v>
      </c>
      <c r="C147" s="4">
        <v>0</v>
      </c>
      <c r="D147" s="4">
        <v>1</v>
      </c>
      <c r="E147" s="4">
        <v>232</v>
      </c>
      <c r="F147" s="4">
        <f>ROUND(Source!BC131,O147)</f>
        <v>0</v>
      </c>
      <c r="G147" s="4" t="s">
        <v>229</v>
      </c>
      <c r="H147" s="4" t="s">
        <v>230</v>
      </c>
      <c r="I147" s="4"/>
      <c r="J147" s="4"/>
      <c r="K147" s="4">
        <v>232</v>
      </c>
      <c r="L147" s="4">
        <v>15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88" x14ac:dyDescent="0.2">
      <c r="A148" s="4">
        <v>50</v>
      </c>
      <c r="B148" s="4">
        <v>0</v>
      </c>
      <c r="C148" s="4">
        <v>0</v>
      </c>
      <c r="D148" s="4">
        <v>1</v>
      </c>
      <c r="E148" s="4">
        <v>214</v>
      </c>
      <c r="F148" s="4">
        <f>ROUND(Source!AS131,O148)</f>
        <v>881.73</v>
      </c>
      <c r="G148" s="4" t="s">
        <v>231</v>
      </c>
      <c r="H148" s="4" t="s">
        <v>232</v>
      </c>
      <c r="I148" s="4"/>
      <c r="J148" s="4"/>
      <c r="K148" s="4">
        <v>214</v>
      </c>
      <c r="L148" s="4">
        <v>16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88" x14ac:dyDescent="0.2">
      <c r="A149" s="4">
        <v>50</v>
      </c>
      <c r="B149" s="4">
        <v>0</v>
      </c>
      <c r="C149" s="4">
        <v>0</v>
      </c>
      <c r="D149" s="4">
        <v>1</v>
      </c>
      <c r="E149" s="4">
        <v>215</v>
      </c>
      <c r="F149" s="4">
        <f>ROUND(Source!AT131,O149)</f>
        <v>135160.82</v>
      </c>
      <c r="G149" s="4" t="s">
        <v>233</v>
      </c>
      <c r="H149" s="4" t="s">
        <v>234</v>
      </c>
      <c r="I149" s="4"/>
      <c r="J149" s="4"/>
      <c r="K149" s="4">
        <v>215</v>
      </c>
      <c r="L149" s="4">
        <v>17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88" x14ac:dyDescent="0.2">
      <c r="A150" s="4">
        <v>50</v>
      </c>
      <c r="B150" s="4">
        <v>0</v>
      </c>
      <c r="C150" s="4">
        <v>0</v>
      </c>
      <c r="D150" s="4">
        <v>1</v>
      </c>
      <c r="E150" s="4">
        <v>217</v>
      </c>
      <c r="F150" s="4">
        <f>ROUND(Source!AU131,O150)</f>
        <v>0</v>
      </c>
      <c r="G150" s="4" t="s">
        <v>235</v>
      </c>
      <c r="H150" s="4" t="s">
        <v>236</v>
      </c>
      <c r="I150" s="4"/>
      <c r="J150" s="4"/>
      <c r="K150" s="4">
        <v>217</v>
      </c>
      <c r="L150" s="4">
        <v>18</v>
      </c>
      <c r="M150" s="4">
        <v>3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88" x14ac:dyDescent="0.2">
      <c r="A151" s="4">
        <v>50</v>
      </c>
      <c r="B151" s="4">
        <v>0</v>
      </c>
      <c r="C151" s="4">
        <v>0</v>
      </c>
      <c r="D151" s="4">
        <v>1</v>
      </c>
      <c r="E151" s="4">
        <v>230</v>
      </c>
      <c r="F151" s="4">
        <f>ROUND(Source!BA131,O151)</f>
        <v>0</v>
      </c>
      <c r="G151" s="4" t="s">
        <v>237</v>
      </c>
      <c r="H151" s="4" t="s">
        <v>238</v>
      </c>
      <c r="I151" s="4"/>
      <c r="J151" s="4"/>
      <c r="K151" s="4">
        <v>230</v>
      </c>
      <c r="L151" s="4">
        <v>19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88" x14ac:dyDescent="0.2">
      <c r="A152" s="4">
        <v>50</v>
      </c>
      <c r="B152" s="4">
        <v>0</v>
      </c>
      <c r="C152" s="4">
        <v>0</v>
      </c>
      <c r="D152" s="4">
        <v>1</v>
      </c>
      <c r="E152" s="4">
        <v>206</v>
      </c>
      <c r="F152" s="4">
        <f>ROUND(Source!T131,O152)</f>
        <v>0</v>
      </c>
      <c r="G152" s="4" t="s">
        <v>239</v>
      </c>
      <c r="H152" s="4" t="s">
        <v>240</v>
      </c>
      <c r="I152" s="4"/>
      <c r="J152" s="4"/>
      <c r="K152" s="4">
        <v>206</v>
      </c>
      <c r="L152" s="4">
        <v>20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88" x14ac:dyDescent="0.2">
      <c r="A153" s="4">
        <v>50</v>
      </c>
      <c r="B153" s="4">
        <v>0</v>
      </c>
      <c r="C153" s="4">
        <v>0</v>
      </c>
      <c r="D153" s="4">
        <v>1</v>
      </c>
      <c r="E153" s="4">
        <v>207</v>
      </c>
      <c r="F153" s="4">
        <f>Source!U131</f>
        <v>77.084700000000012</v>
      </c>
      <c r="G153" s="4" t="s">
        <v>241</v>
      </c>
      <c r="H153" s="4" t="s">
        <v>242</v>
      </c>
      <c r="I153" s="4"/>
      <c r="J153" s="4"/>
      <c r="K153" s="4">
        <v>207</v>
      </c>
      <c r="L153" s="4">
        <v>21</v>
      </c>
      <c r="M153" s="4">
        <v>3</v>
      </c>
      <c r="N153" s="4" t="s">
        <v>3</v>
      </c>
      <c r="O153" s="4">
        <v>-1</v>
      </c>
      <c r="P153" s="4"/>
      <c r="Q153" s="4"/>
      <c r="R153" s="4"/>
      <c r="S153" s="4"/>
      <c r="T153" s="4"/>
      <c r="U153" s="4"/>
      <c r="V153" s="4"/>
      <c r="W153" s="4"/>
    </row>
    <row r="154" spans="1:88" x14ac:dyDescent="0.2">
      <c r="A154" s="4">
        <v>50</v>
      </c>
      <c r="B154" s="4">
        <v>0</v>
      </c>
      <c r="C154" s="4">
        <v>0</v>
      </c>
      <c r="D154" s="4">
        <v>1</v>
      </c>
      <c r="E154" s="4">
        <v>208</v>
      </c>
      <c r="F154" s="4">
        <f>Source!V131</f>
        <v>0.65200000000000002</v>
      </c>
      <c r="G154" s="4" t="s">
        <v>243</v>
      </c>
      <c r="H154" s="4" t="s">
        <v>244</v>
      </c>
      <c r="I154" s="4"/>
      <c r="J154" s="4"/>
      <c r="K154" s="4">
        <v>208</v>
      </c>
      <c r="L154" s="4">
        <v>22</v>
      </c>
      <c r="M154" s="4">
        <v>3</v>
      </c>
      <c r="N154" s="4" t="s">
        <v>3</v>
      </c>
      <c r="O154" s="4">
        <v>-1</v>
      </c>
      <c r="P154" s="4"/>
      <c r="Q154" s="4"/>
      <c r="R154" s="4"/>
      <c r="S154" s="4"/>
      <c r="T154" s="4"/>
      <c r="U154" s="4"/>
      <c r="V154" s="4"/>
      <c r="W154" s="4"/>
    </row>
    <row r="155" spans="1:88" x14ac:dyDescent="0.2">
      <c r="A155" s="4">
        <v>50</v>
      </c>
      <c r="B155" s="4">
        <v>0</v>
      </c>
      <c r="C155" s="4">
        <v>0</v>
      </c>
      <c r="D155" s="4">
        <v>1</v>
      </c>
      <c r="E155" s="4">
        <v>209</v>
      </c>
      <c r="F155" s="4">
        <f>ROUND(Source!W131,O155)</f>
        <v>0</v>
      </c>
      <c r="G155" s="4" t="s">
        <v>245</v>
      </c>
      <c r="H155" s="4" t="s">
        <v>246</v>
      </c>
      <c r="I155" s="4"/>
      <c r="J155" s="4"/>
      <c r="K155" s="4">
        <v>209</v>
      </c>
      <c r="L155" s="4">
        <v>23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88" x14ac:dyDescent="0.2">
      <c r="A156" s="4">
        <v>50</v>
      </c>
      <c r="B156" s="4">
        <v>0</v>
      </c>
      <c r="C156" s="4">
        <v>0</v>
      </c>
      <c r="D156" s="4">
        <v>1</v>
      </c>
      <c r="E156" s="4">
        <v>210</v>
      </c>
      <c r="F156" s="4">
        <f>ROUND(Source!X131,O156)</f>
        <v>4653.4799999999996</v>
      </c>
      <c r="G156" s="4" t="s">
        <v>247</v>
      </c>
      <c r="H156" s="4" t="s">
        <v>248</v>
      </c>
      <c r="I156" s="4"/>
      <c r="J156" s="4"/>
      <c r="K156" s="4">
        <v>210</v>
      </c>
      <c r="L156" s="4">
        <v>24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88" x14ac:dyDescent="0.2">
      <c r="A157" s="4">
        <v>50</v>
      </c>
      <c r="B157" s="4">
        <v>0</v>
      </c>
      <c r="C157" s="4">
        <v>0</v>
      </c>
      <c r="D157" s="4">
        <v>1</v>
      </c>
      <c r="E157" s="4">
        <v>211</v>
      </c>
      <c r="F157" s="4">
        <f>ROUND(Source!Y131,O157)</f>
        <v>3208</v>
      </c>
      <c r="G157" s="4" t="s">
        <v>249</v>
      </c>
      <c r="H157" s="4" t="s">
        <v>250</v>
      </c>
      <c r="I157" s="4"/>
      <c r="J157" s="4"/>
      <c r="K157" s="4">
        <v>211</v>
      </c>
      <c r="L157" s="4">
        <v>25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88" x14ac:dyDescent="0.2">
      <c r="A158" s="4">
        <v>50</v>
      </c>
      <c r="B158" s="4">
        <v>0</v>
      </c>
      <c r="C158" s="4">
        <v>0</v>
      </c>
      <c r="D158" s="4">
        <v>1</v>
      </c>
      <c r="E158" s="4">
        <v>224</v>
      </c>
      <c r="F158" s="4">
        <f>ROUND(Source!AR131,O158)</f>
        <v>136042.54999999999</v>
      </c>
      <c r="G158" s="4" t="s">
        <v>251</v>
      </c>
      <c r="H158" s="4" t="s">
        <v>252</v>
      </c>
      <c r="I158" s="4"/>
      <c r="J158" s="4"/>
      <c r="K158" s="4">
        <v>224</v>
      </c>
      <c r="L158" s="4">
        <v>26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60" spans="1:88" x14ac:dyDescent="0.2">
      <c r="A160" s="1">
        <v>4</v>
      </c>
      <c r="B160" s="1">
        <v>1</v>
      </c>
      <c r="C160" s="1"/>
      <c r="D160" s="1">
        <f>ROW(A168)</f>
        <v>168</v>
      </c>
      <c r="E160" s="1"/>
      <c r="F160" s="1" t="s">
        <v>12</v>
      </c>
      <c r="G160" s="1" t="s">
        <v>366</v>
      </c>
      <c r="H160" s="1" t="s">
        <v>3</v>
      </c>
      <c r="I160" s="1">
        <v>0</v>
      </c>
      <c r="J160" s="1"/>
      <c r="K160" s="1">
        <v>0</v>
      </c>
      <c r="L160" s="1"/>
      <c r="M160" s="1"/>
      <c r="N160" s="1"/>
      <c r="O160" s="1"/>
      <c r="P160" s="1"/>
      <c r="Q160" s="1"/>
      <c r="R160" s="1"/>
      <c r="S160" s="1"/>
      <c r="T160" s="1"/>
      <c r="U160" s="1" t="s">
        <v>3</v>
      </c>
      <c r="V160" s="1">
        <v>0</v>
      </c>
      <c r="W160" s="1"/>
      <c r="X160" s="1"/>
      <c r="Y160" s="1"/>
      <c r="Z160" s="1"/>
      <c r="AA160" s="1"/>
      <c r="AB160" s="1" t="s">
        <v>3</v>
      </c>
      <c r="AC160" s="1" t="s">
        <v>3</v>
      </c>
      <c r="AD160" s="1" t="s">
        <v>3</v>
      </c>
      <c r="AE160" s="1" t="s">
        <v>3</v>
      </c>
      <c r="AF160" s="1" t="s">
        <v>3</v>
      </c>
      <c r="AG160" s="1" t="s">
        <v>3</v>
      </c>
      <c r="AH160" s="1"/>
      <c r="AI160" s="1"/>
      <c r="AJ160" s="1"/>
      <c r="AK160" s="1"/>
      <c r="AL160" s="1"/>
      <c r="AM160" s="1"/>
      <c r="AN160" s="1"/>
      <c r="AO160" s="1"/>
      <c r="AP160" s="1" t="s">
        <v>3</v>
      </c>
      <c r="AQ160" s="1" t="s">
        <v>3</v>
      </c>
      <c r="AR160" s="1" t="s">
        <v>3</v>
      </c>
      <c r="AS160" s="1"/>
      <c r="AT160" s="1"/>
      <c r="AU160" s="1"/>
      <c r="AV160" s="1"/>
      <c r="AW160" s="1"/>
      <c r="AX160" s="1"/>
      <c r="AY160" s="1"/>
      <c r="AZ160" s="1" t="s">
        <v>3</v>
      </c>
      <c r="BA160" s="1"/>
      <c r="BB160" s="1" t="s">
        <v>3</v>
      </c>
      <c r="BC160" s="1" t="s">
        <v>3</v>
      </c>
      <c r="BD160" s="1" t="s">
        <v>3</v>
      </c>
      <c r="BE160" s="1" t="s">
        <v>3</v>
      </c>
      <c r="BF160" s="1" t="s">
        <v>3</v>
      </c>
      <c r="BG160" s="1" t="s">
        <v>3</v>
      </c>
      <c r="BH160" s="1" t="s">
        <v>3</v>
      </c>
      <c r="BI160" s="1" t="s">
        <v>3</v>
      </c>
      <c r="BJ160" s="1" t="s">
        <v>3</v>
      </c>
      <c r="BK160" s="1" t="s">
        <v>3</v>
      </c>
      <c r="BL160" s="1" t="s">
        <v>3</v>
      </c>
      <c r="BM160" s="1" t="s">
        <v>3</v>
      </c>
      <c r="BN160" s="1" t="s">
        <v>3</v>
      </c>
      <c r="BO160" s="1" t="s">
        <v>3</v>
      </c>
      <c r="BP160" s="1" t="s">
        <v>3</v>
      </c>
      <c r="BQ160" s="1"/>
      <c r="BR160" s="1"/>
      <c r="BS160" s="1"/>
      <c r="BT160" s="1"/>
      <c r="BU160" s="1"/>
      <c r="BV160" s="1"/>
      <c r="BW160" s="1"/>
      <c r="BX160" s="1">
        <v>0</v>
      </c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>
        <v>0</v>
      </c>
    </row>
    <row r="162" spans="1:245" x14ac:dyDescent="0.2">
      <c r="A162" s="2">
        <v>52</v>
      </c>
      <c r="B162" s="2">
        <f t="shared" ref="B162:G162" si="119">B168</f>
        <v>1</v>
      </c>
      <c r="C162" s="2">
        <f t="shared" si="119"/>
        <v>4</v>
      </c>
      <c r="D162" s="2">
        <f t="shared" si="119"/>
        <v>160</v>
      </c>
      <c r="E162" s="2">
        <f t="shared" si="119"/>
        <v>0</v>
      </c>
      <c r="F162" s="2" t="str">
        <f t="shared" si="119"/>
        <v>Новый раздел</v>
      </c>
      <c r="G162" s="2" t="str">
        <f t="shared" si="119"/>
        <v>3 Уборка и вывоз мусора</v>
      </c>
      <c r="H162" s="2"/>
      <c r="I162" s="2"/>
      <c r="J162" s="2"/>
      <c r="K162" s="2"/>
      <c r="L162" s="2"/>
      <c r="M162" s="2"/>
      <c r="N162" s="2"/>
      <c r="O162" s="2">
        <f t="shared" ref="O162:AT162" si="120">O168</f>
        <v>1942.12</v>
      </c>
      <c r="P162" s="2">
        <f t="shared" si="120"/>
        <v>1337.71</v>
      </c>
      <c r="Q162" s="2">
        <f t="shared" si="120"/>
        <v>0</v>
      </c>
      <c r="R162" s="2">
        <f t="shared" si="120"/>
        <v>0</v>
      </c>
      <c r="S162" s="2">
        <f t="shared" si="120"/>
        <v>604.41</v>
      </c>
      <c r="T162" s="2">
        <f t="shared" si="120"/>
        <v>0</v>
      </c>
      <c r="U162" s="2">
        <f t="shared" si="120"/>
        <v>12.7102</v>
      </c>
      <c r="V162" s="2">
        <f t="shared" si="120"/>
        <v>0</v>
      </c>
      <c r="W162" s="2">
        <f t="shared" si="120"/>
        <v>0</v>
      </c>
      <c r="X162" s="2">
        <f t="shared" si="120"/>
        <v>471.44</v>
      </c>
      <c r="Y162" s="2">
        <f t="shared" si="120"/>
        <v>302.20999999999998</v>
      </c>
      <c r="Z162" s="2">
        <f t="shared" si="120"/>
        <v>0</v>
      </c>
      <c r="AA162" s="2">
        <f t="shared" si="120"/>
        <v>0</v>
      </c>
      <c r="AB162" s="2">
        <f t="shared" si="120"/>
        <v>1942.12</v>
      </c>
      <c r="AC162" s="2">
        <f t="shared" si="120"/>
        <v>1337.71</v>
      </c>
      <c r="AD162" s="2">
        <f t="shared" si="120"/>
        <v>0</v>
      </c>
      <c r="AE162" s="2">
        <f t="shared" si="120"/>
        <v>0</v>
      </c>
      <c r="AF162" s="2">
        <f t="shared" si="120"/>
        <v>604.41</v>
      </c>
      <c r="AG162" s="2">
        <f t="shared" si="120"/>
        <v>0</v>
      </c>
      <c r="AH162" s="2">
        <f t="shared" si="120"/>
        <v>12.7102</v>
      </c>
      <c r="AI162" s="2">
        <f t="shared" si="120"/>
        <v>0</v>
      </c>
      <c r="AJ162" s="2">
        <f t="shared" si="120"/>
        <v>0</v>
      </c>
      <c r="AK162" s="2">
        <f t="shared" si="120"/>
        <v>471.44</v>
      </c>
      <c r="AL162" s="2">
        <f t="shared" si="120"/>
        <v>302.20999999999998</v>
      </c>
      <c r="AM162" s="2">
        <f t="shared" si="120"/>
        <v>0</v>
      </c>
      <c r="AN162" s="2">
        <f t="shared" si="120"/>
        <v>0</v>
      </c>
      <c r="AO162" s="2">
        <f t="shared" si="120"/>
        <v>0</v>
      </c>
      <c r="AP162" s="2">
        <f t="shared" si="120"/>
        <v>0</v>
      </c>
      <c r="AQ162" s="2">
        <f t="shared" si="120"/>
        <v>0</v>
      </c>
      <c r="AR162" s="2">
        <f t="shared" si="120"/>
        <v>8600.0499999999993</v>
      </c>
      <c r="AS162" s="2">
        <f t="shared" si="120"/>
        <v>8600.0499999999993</v>
      </c>
      <c r="AT162" s="2">
        <f t="shared" si="120"/>
        <v>0</v>
      </c>
      <c r="AU162" s="2">
        <f t="shared" ref="AU162:BZ162" si="121">AU168</f>
        <v>0</v>
      </c>
      <c r="AV162" s="2">
        <f t="shared" si="121"/>
        <v>1337.71</v>
      </c>
      <c r="AW162" s="2">
        <f t="shared" si="121"/>
        <v>1337.71</v>
      </c>
      <c r="AX162" s="2">
        <f t="shared" si="121"/>
        <v>0</v>
      </c>
      <c r="AY162" s="2">
        <f t="shared" si="121"/>
        <v>1337.71</v>
      </c>
      <c r="AZ162" s="2">
        <f t="shared" si="121"/>
        <v>0</v>
      </c>
      <c r="BA162" s="2">
        <f t="shared" si="121"/>
        <v>0</v>
      </c>
      <c r="BB162" s="2">
        <f t="shared" si="121"/>
        <v>0</v>
      </c>
      <c r="BC162" s="2">
        <f t="shared" si="121"/>
        <v>0</v>
      </c>
      <c r="BD162" s="2">
        <f t="shared" si="121"/>
        <v>0</v>
      </c>
      <c r="BE162" s="2">
        <f t="shared" si="121"/>
        <v>0</v>
      </c>
      <c r="BF162" s="2">
        <f t="shared" si="121"/>
        <v>0</v>
      </c>
      <c r="BG162" s="2">
        <f t="shared" si="121"/>
        <v>0</v>
      </c>
      <c r="BH162" s="2">
        <f t="shared" si="121"/>
        <v>0</v>
      </c>
      <c r="BI162" s="2">
        <f t="shared" si="121"/>
        <v>0</v>
      </c>
      <c r="BJ162" s="2">
        <f t="shared" si="121"/>
        <v>0</v>
      </c>
      <c r="BK162" s="2">
        <f t="shared" si="121"/>
        <v>0</v>
      </c>
      <c r="BL162" s="2">
        <f t="shared" si="121"/>
        <v>0</v>
      </c>
      <c r="BM162" s="2">
        <f t="shared" si="121"/>
        <v>0</v>
      </c>
      <c r="BN162" s="2">
        <f t="shared" si="121"/>
        <v>0</v>
      </c>
      <c r="BO162" s="2">
        <f t="shared" si="121"/>
        <v>0</v>
      </c>
      <c r="BP162" s="2">
        <f t="shared" si="121"/>
        <v>0</v>
      </c>
      <c r="BQ162" s="2">
        <f t="shared" si="121"/>
        <v>0</v>
      </c>
      <c r="BR162" s="2">
        <f t="shared" si="121"/>
        <v>0</v>
      </c>
      <c r="BS162" s="2">
        <f t="shared" si="121"/>
        <v>0</v>
      </c>
      <c r="BT162" s="2">
        <f t="shared" si="121"/>
        <v>0</v>
      </c>
      <c r="BU162" s="2">
        <f t="shared" si="121"/>
        <v>0</v>
      </c>
      <c r="BV162" s="2">
        <f t="shared" si="121"/>
        <v>0</v>
      </c>
      <c r="BW162" s="2">
        <f t="shared" si="121"/>
        <v>0</v>
      </c>
      <c r="BX162" s="2">
        <f t="shared" si="121"/>
        <v>0</v>
      </c>
      <c r="BY162" s="2">
        <f t="shared" si="121"/>
        <v>0</v>
      </c>
      <c r="BZ162" s="2">
        <f t="shared" si="121"/>
        <v>0</v>
      </c>
      <c r="CA162" s="2">
        <f t="shared" ref="CA162:DF162" si="122">CA168</f>
        <v>8600.0499999999993</v>
      </c>
      <c r="CB162" s="2">
        <f t="shared" si="122"/>
        <v>8600.0499999999993</v>
      </c>
      <c r="CC162" s="2">
        <f t="shared" si="122"/>
        <v>0</v>
      </c>
      <c r="CD162" s="2">
        <f t="shared" si="122"/>
        <v>0</v>
      </c>
      <c r="CE162" s="2">
        <f t="shared" si="122"/>
        <v>1337.71</v>
      </c>
      <c r="CF162" s="2">
        <f t="shared" si="122"/>
        <v>1337.71</v>
      </c>
      <c r="CG162" s="2">
        <f t="shared" si="122"/>
        <v>0</v>
      </c>
      <c r="CH162" s="2">
        <f t="shared" si="122"/>
        <v>1337.71</v>
      </c>
      <c r="CI162" s="2">
        <f t="shared" si="122"/>
        <v>0</v>
      </c>
      <c r="CJ162" s="2">
        <f t="shared" si="122"/>
        <v>0</v>
      </c>
      <c r="CK162" s="2">
        <f t="shared" si="122"/>
        <v>0</v>
      </c>
      <c r="CL162" s="2">
        <f t="shared" si="122"/>
        <v>0</v>
      </c>
      <c r="CM162" s="2">
        <f t="shared" si="122"/>
        <v>0</v>
      </c>
      <c r="CN162" s="2">
        <f t="shared" si="122"/>
        <v>0</v>
      </c>
      <c r="CO162" s="2">
        <f t="shared" si="122"/>
        <v>0</v>
      </c>
      <c r="CP162" s="2">
        <f t="shared" si="122"/>
        <v>0</v>
      </c>
      <c r="CQ162" s="2">
        <f t="shared" si="122"/>
        <v>0</v>
      </c>
      <c r="CR162" s="2">
        <f t="shared" si="122"/>
        <v>0</v>
      </c>
      <c r="CS162" s="2">
        <f t="shared" si="122"/>
        <v>0</v>
      </c>
      <c r="CT162" s="2">
        <f t="shared" si="122"/>
        <v>0</v>
      </c>
      <c r="CU162" s="2">
        <f t="shared" si="122"/>
        <v>0</v>
      </c>
      <c r="CV162" s="2">
        <f t="shared" si="122"/>
        <v>0</v>
      </c>
      <c r="CW162" s="2">
        <f t="shared" si="122"/>
        <v>0</v>
      </c>
      <c r="CX162" s="2">
        <f t="shared" si="122"/>
        <v>0</v>
      </c>
      <c r="CY162" s="2">
        <f t="shared" si="122"/>
        <v>0</v>
      </c>
      <c r="CZ162" s="2">
        <f t="shared" si="122"/>
        <v>0</v>
      </c>
      <c r="DA162" s="2">
        <f t="shared" si="122"/>
        <v>0</v>
      </c>
      <c r="DB162" s="2">
        <f t="shared" si="122"/>
        <v>0</v>
      </c>
      <c r="DC162" s="2">
        <f t="shared" si="122"/>
        <v>0</v>
      </c>
      <c r="DD162" s="2">
        <f t="shared" si="122"/>
        <v>0</v>
      </c>
      <c r="DE162" s="2">
        <f t="shared" si="122"/>
        <v>0</v>
      </c>
      <c r="DF162" s="2">
        <f t="shared" si="122"/>
        <v>0</v>
      </c>
      <c r="DG162" s="3">
        <f t="shared" ref="DG162:EL162" si="123">DG168</f>
        <v>0</v>
      </c>
      <c r="DH162" s="3">
        <f t="shared" si="123"/>
        <v>0</v>
      </c>
      <c r="DI162" s="3">
        <f t="shared" si="123"/>
        <v>0</v>
      </c>
      <c r="DJ162" s="3">
        <f t="shared" si="123"/>
        <v>0</v>
      </c>
      <c r="DK162" s="3">
        <f t="shared" si="123"/>
        <v>0</v>
      </c>
      <c r="DL162" s="3">
        <f t="shared" si="123"/>
        <v>0</v>
      </c>
      <c r="DM162" s="3">
        <f t="shared" si="123"/>
        <v>0</v>
      </c>
      <c r="DN162" s="3">
        <f t="shared" si="123"/>
        <v>0</v>
      </c>
      <c r="DO162" s="3">
        <f t="shared" si="123"/>
        <v>0</v>
      </c>
      <c r="DP162" s="3">
        <f t="shared" si="123"/>
        <v>0</v>
      </c>
      <c r="DQ162" s="3">
        <f t="shared" si="123"/>
        <v>0</v>
      </c>
      <c r="DR162" s="3">
        <f t="shared" si="123"/>
        <v>0</v>
      </c>
      <c r="DS162" s="3">
        <f t="shared" si="123"/>
        <v>0</v>
      </c>
      <c r="DT162" s="3">
        <f t="shared" si="123"/>
        <v>0</v>
      </c>
      <c r="DU162" s="3">
        <f t="shared" si="123"/>
        <v>0</v>
      </c>
      <c r="DV162" s="3">
        <f t="shared" si="123"/>
        <v>0</v>
      </c>
      <c r="DW162" s="3">
        <f t="shared" si="123"/>
        <v>0</v>
      </c>
      <c r="DX162" s="3">
        <f t="shared" si="123"/>
        <v>0</v>
      </c>
      <c r="DY162" s="3">
        <f t="shared" si="123"/>
        <v>0</v>
      </c>
      <c r="DZ162" s="3">
        <f t="shared" si="123"/>
        <v>0</v>
      </c>
      <c r="EA162" s="3">
        <f t="shared" si="123"/>
        <v>0</v>
      </c>
      <c r="EB162" s="3">
        <f t="shared" si="123"/>
        <v>0</v>
      </c>
      <c r="EC162" s="3">
        <f t="shared" si="123"/>
        <v>0</v>
      </c>
      <c r="ED162" s="3">
        <f t="shared" si="123"/>
        <v>0</v>
      </c>
      <c r="EE162" s="3">
        <f t="shared" si="123"/>
        <v>0</v>
      </c>
      <c r="EF162" s="3">
        <f t="shared" si="123"/>
        <v>0</v>
      </c>
      <c r="EG162" s="3">
        <f t="shared" si="123"/>
        <v>0</v>
      </c>
      <c r="EH162" s="3">
        <f t="shared" si="123"/>
        <v>0</v>
      </c>
      <c r="EI162" s="3">
        <f t="shared" si="123"/>
        <v>0</v>
      </c>
      <c r="EJ162" s="3">
        <f t="shared" si="123"/>
        <v>0</v>
      </c>
      <c r="EK162" s="3">
        <f t="shared" si="123"/>
        <v>0</v>
      </c>
      <c r="EL162" s="3">
        <f t="shared" si="123"/>
        <v>0</v>
      </c>
      <c r="EM162" s="3">
        <f t="shared" ref="EM162:FR162" si="124">EM168</f>
        <v>0</v>
      </c>
      <c r="EN162" s="3">
        <f t="shared" si="124"/>
        <v>0</v>
      </c>
      <c r="EO162" s="3">
        <f t="shared" si="124"/>
        <v>0</v>
      </c>
      <c r="EP162" s="3">
        <f t="shared" si="124"/>
        <v>0</v>
      </c>
      <c r="EQ162" s="3">
        <f t="shared" si="124"/>
        <v>0</v>
      </c>
      <c r="ER162" s="3">
        <f t="shared" si="124"/>
        <v>0</v>
      </c>
      <c r="ES162" s="3">
        <f t="shared" si="124"/>
        <v>0</v>
      </c>
      <c r="ET162" s="3">
        <f t="shared" si="124"/>
        <v>0</v>
      </c>
      <c r="EU162" s="3">
        <f t="shared" si="124"/>
        <v>0</v>
      </c>
      <c r="EV162" s="3">
        <f t="shared" si="124"/>
        <v>0</v>
      </c>
      <c r="EW162" s="3">
        <f t="shared" si="124"/>
        <v>0</v>
      </c>
      <c r="EX162" s="3">
        <f t="shared" si="124"/>
        <v>0</v>
      </c>
      <c r="EY162" s="3">
        <f t="shared" si="124"/>
        <v>0</v>
      </c>
      <c r="EZ162" s="3">
        <f t="shared" si="124"/>
        <v>0</v>
      </c>
      <c r="FA162" s="3">
        <f t="shared" si="124"/>
        <v>0</v>
      </c>
      <c r="FB162" s="3">
        <f t="shared" si="124"/>
        <v>0</v>
      </c>
      <c r="FC162" s="3">
        <f t="shared" si="124"/>
        <v>0</v>
      </c>
      <c r="FD162" s="3">
        <f t="shared" si="124"/>
        <v>0</v>
      </c>
      <c r="FE162" s="3">
        <f t="shared" si="124"/>
        <v>0</v>
      </c>
      <c r="FF162" s="3">
        <f t="shared" si="124"/>
        <v>0</v>
      </c>
      <c r="FG162" s="3">
        <f t="shared" si="124"/>
        <v>0</v>
      </c>
      <c r="FH162" s="3">
        <f t="shared" si="124"/>
        <v>0</v>
      </c>
      <c r="FI162" s="3">
        <f t="shared" si="124"/>
        <v>0</v>
      </c>
      <c r="FJ162" s="3">
        <f t="shared" si="124"/>
        <v>0</v>
      </c>
      <c r="FK162" s="3">
        <f t="shared" si="124"/>
        <v>0</v>
      </c>
      <c r="FL162" s="3">
        <f t="shared" si="124"/>
        <v>0</v>
      </c>
      <c r="FM162" s="3">
        <f t="shared" si="124"/>
        <v>0</v>
      </c>
      <c r="FN162" s="3">
        <f t="shared" si="124"/>
        <v>0</v>
      </c>
      <c r="FO162" s="3">
        <f t="shared" si="124"/>
        <v>0</v>
      </c>
      <c r="FP162" s="3">
        <f t="shared" si="124"/>
        <v>0</v>
      </c>
      <c r="FQ162" s="3">
        <f t="shared" si="124"/>
        <v>0</v>
      </c>
      <c r="FR162" s="3">
        <f t="shared" si="124"/>
        <v>0</v>
      </c>
      <c r="FS162" s="3">
        <f t="shared" ref="FS162:GX162" si="125">FS168</f>
        <v>0</v>
      </c>
      <c r="FT162" s="3">
        <f t="shared" si="125"/>
        <v>0</v>
      </c>
      <c r="FU162" s="3">
        <f t="shared" si="125"/>
        <v>0</v>
      </c>
      <c r="FV162" s="3">
        <f t="shared" si="125"/>
        <v>0</v>
      </c>
      <c r="FW162" s="3">
        <f t="shared" si="125"/>
        <v>0</v>
      </c>
      <c r="FX162" s="3">
        <f t="shared" si="125"/>
        <v>0</v>
      </c>
      <c r="FY162" s="3">
        <f t="shared" si="125"/>
        <v>0</v>
      </c>
      <c r="FZ162" s="3">
        <f t="shared" si="125"/>
        <v>0</v>
      </c>
      <c r="GA162" s="3">
        <f t="shared" si="125"/>
        <v>0</v>
      </c>
      <c r="GB162" s="3">
        <f t="shared" si="125"/>
        <v>0</v>
      </c>
      <c r="GC162" s="3">
        <f t="shared" si="125"/>
        <v>0</v>
      </c>
      <c r="GD162" s="3">
        <f t="shared" si="125"/>
        <v>0</v>
      </c>
      <c r="GE162" s="3">
        <f t="shared" si="125"/>
        <v>0</v>
      </c>
      <c r="GF162" s="3">
        <f t="shared" si="125"/>
        <v>0</v>
      </c>
      <c r="GG162" s="3">
        <f t="shared" si="125"/>
        <v>0</v>
      </c>
      <c r="GH162" s="3">
        <f t="shared" si="125"/>
        <v>0</v>
      </c>
      <c r="GI162" s="3">
        <f t="shared" si="125"/>
        <v>0</v>
      </c>
      <c r="GJ162" s="3">
        <f t="shared" si="125"/>
        <v>0</v>
      </c>
      <c r="GK162" s="3">
        <f t="shared" si="125"/>
        <v>0</v>
      </c>
      <c r="GL162" s="3">
        <f t="shared" si="125"/>
        <v>0</v>
      </c>
      <c r="GM162" s="3">
        <f t="shared" si="125"/>
        <v>0</v>
      </c>
      <c r="GN162" s="3">
        <f t="shared" si="125"/>
        <v>0</v>
      </c>
      <c r="GO162" s="3">
        <f t="shared" si="125"/>
        <v>0</v>
      </c>
      <c r="GP162" s="3">
        <f t="shared" si="125"/>
        <v>0</v>
      </c>
      <c r="GQ162" s="3">
        <f t="shared" si="125"/>
        <v>0</v>
      </c>
      <c r="GR162" s="3">
        <f t="shared" si="125"/>
        <v>0</v>
      </c>
      <c r="GS162" s="3">
        <f t="shared" si="125"/>
        <v>0</v>
      </c>
      <c r="GT162" s="3">
        <f t="shared" si="125"/>
        <v>0</v>
      </c>
      <c r="GU162" s="3">
        <f t="shared" si="125"/>
        <v>0</v>
      </c>
      <c r="GV162" s="3">
        <f t="shared" si="125"/>
        <v>0</v>
      </c>
      <c r="GW162" s="3">
        <f t="shared" si="125"/>
        <v>0</v>
      </c>
      <c r="GX162" s="3">
        <f t="shared" si="125"/>
        <v>0</v>
      </c>
    </row>
    <row r="164" spans="1:245" x14ac:dyDescent="0.2">
      <c r="A164">
        <v>17</v>
      </c>
      <c r="B164">
        <v>1</v>
      </c>
      <c r="C164">
        <f>ROW(SmtRes!A214)</f>
        <v>214</v>
      </c>
      <c r="D164">
        <f>ROW(EtalonRes!A198)</f>
        <v>198</v>
      </c>
      <c r="E164" t="s">
        <v>367</v>
      </c>
      <c r="F164" t="s">
        <v>368</v>
      </c>
      <c r="G164" t="s">
        <v>369</v>
      </c>
      <c r="H164" t="s">
        <v>72</v>
      </c>
      <c r="I164">
        <v>12.34</v>
      </c>
      <c r="J164">
        <v>0</v>
      </c>
      <c r="O164">
        <f>ROUND(CP164,2)</f>
        <v>1942.12</v>
      </c>
      <c r="P164">
        <f>ROUND(CQ164*I164,2)</f>
        <v>1337.71</v>
      </c>
      <c r="Q164">
        <f>ROUND(CR164*I164,2)</f>
        <v>0</v>
      </c>
      <c r="R164">
        <f>ROUND(CS164*I164,2)</f>
        <v>0</v>
      </c>
      <c r="S164">
        <f>ROUND(CT164*I164,2)</f>
        <v>604.41</v>
      </c>
      <c r="T164">
        <f>ROUND(CU164*I164,2)</f>
        <v>0</v>
      </c>
      <c r="U164">
        <f>CV164*I164</f>
        <v>12.7102</v>
      </c>
      <c r="V164">
        <f>CW164*I164</f>
        <v>0</v>
      </c>
      <c r="W164">
        <f>ROUND(CX164*I164,2)</f>
        <v>0</v>
      </c>
      <c r="X164">
        <f>ROUND(CY164,2)</f>
        <v>471.44</v>
      </c>
      <c r="Y164">
        <f>ROUND(CZ164,2)</f>
        <v>302.20999999999998</v>
      </c>
      <c r="AA164">
        <v>39616881</v>
      </c>
      <c r="AB164">
        <f>ROUND((AC164+AD164+AF164),2)</f>
        <v>23.81</v>
      </c>
      <c r="AC164">
        <f>ROUND((ES164),2)</f>
        <v>16.399999999999999</v>
      </c>
      <c r="AD164">
        <f>ROUND((((ET164)-(EU164))+AE164),2)</f>
        <v>0</v>
      </c>
      <c r="AE164">
        <f>ROUND((EU164),2)</f>
        <v>0</v>
      </c>
      <c r="AF164">
        <f>ROUND((EV164),2)</f>
        <v>7.41</v>
      </c>
      <c r="AG164">
        <f>ROUND((AP164),2)</f>
        <v>0</v>
      </c>
      <c r="AH164">
        <f>(EW164)</f>
        <v>1.03</v>
      </c>
      <c r="AI164">
        <f>(EX164)</f>
        <v>0</v>
      </c>
      <c r="AJ164">
        <f>ROUND((AS164),2)</f>
        <v>0</v>
      </c>
      <c r="AK164">
        <v>23.81</v>
      </c>
      <c r="AL164">
        <v>16.399999999999999</v>
      </c>
      <c r="AM164">
        <v>0</v>
      </c>
      <c r="AN164">
        <v>0</v>
      </c>
      <c r="AO164">
        <v>7.41</v>
      </c>
      <c r="AP164">
        <v>0</v>
      </c>
      <c r="AQ164">
        <v>1.03</v>
      </c>
      <c r="AR164">
        <v>0</v>
      </c>
      <c r="AS164">
        <v>0</v>
      </c>
      <c r="AT164">
        <v>78</v>
      </c>
      <c r="AU164">
        <v>50</v>
      </c>
      <c r="AV164">
        <v>1</v>
      </c>
      <c r="AW164">
        <v>1</v>
      </c>
      <c r="AZ164">
        <v>6.61</v>
      </c>
      <c r="BA164">
        <v>6.61</v>
      </c>
      <c r="BB164">
        <v>6.61</v>
      </c>
      <c r="BC164">
        <v>6.61</v>
      </c>
      <c r="BD164" t="s">
        <v>3</v>
      </c>
      <c r="BE164" t="s">
        <v>3</v>
      </c>
      <c r="BF164" t="s">
        <v>3</v>
      </c>
      <c r="BG164" t="s">
        <v>3</v>
      </c>
      <c r="BH164">
        <v>0</v>
      </c>
      <c r="BI164">
        <v>1</v>
      </c>
      <c r="BJ164" t="s">
        <v>370</v>
      </c>
      <c r="BM164">
        <v>69001</v>
      </c>
      <c r="BN164">
        <v>0</v>
      </c>
      <c r="BO164" t="s">
        <v>3</v>
      </c>
      <c r="BP164">
        <v>0</v>
      </c>
      <c r="BQ164">
        <v>6</v>
      </c>
      <c r="BR164">
        <v>0</v>
      </c>
      <c r="BS164">
        <v>6.61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3</v>
      </c>
      <c r="BZ164">
        <v>78</v>
      </c>
      <c r="CA164">
        <v>50</v>
      </c>
      <c r="CF164">
        <v>0</v>
      </c>
      <c r="CG164">
        <v>0</v>
      </c>
      <c r="CM164">
        <v>0</v>
      </c>
      <c r="CN164" t="s">
        <v>3</v>
      </c>
      <c r="CO164">
        <v>0</v>
      </c>
      <c r="CP164">
        <f>(P164+Q164+S164)</f>
        <v>1942.12</v>
      </c>
      <c r="CQ164">
        <f>AC164*BC164</f>
        <v>108.404</v>
      </c>
      <c r="CR164">
        <f>AD164*BB164</f>
        <v>0</v>
      </c>
      <c r="CS164">
        <f>AE164*BS164</f>
        <v>0</v>
      </c>
      <c r="CT164">
        <f>AF164*BA164</f>
        <v>48.9801</v>
      </c>
      <c r="CU164">
        <f>AG164</f>
        <v>0</v>
      </c>
      <c r="CV164">
        <f>AH164</f>
        <v>1.03</v>
      </c>
      <c r="CW164">
        <f>AI164</f>
        <v>0</v>
      </c>
      <c r="CX164">
        <f>AJ164</f>
        <v>0</v>
      </c>
      <c r="CY164">
        <f>(((S164+R164)*AT164)/100)</f>
        <v>471.43979999999993</v>
      </c>
      <c r="CZ164">
        <f>(((S164+R164)*AU164)/100)</f>
        <v>302.20499999999998</v>
      </c>
      <c r="DC164" t="s">
        <v>3</v>
      </c>
      <c r="DD164" t="s">
        <v>3</v>
      </c>
      <c r="DE164" t="s">
        <v>3</v>
      </c>
      <c r="DF164" t="s">
        <v>3</v>
      </c>
      <c r="DG164" t="s">
        <v>3</v>
      </c>
      <c r="DH164" t="s">
        <v>3</v>
      </c>
      <c r="DI164" t="s">
        <v>3</v>
      </c>
      <c r="DJ164" t="s">
        <v>3</v>
      </c>
      <c r="DK164" t="s">
        <v>3</v>
      </c>
      <c r="DL164" t="s">
        <v>3</v>
      </c>
      <c r="DM164" t="s">
        <v>3</v>
      </c>
      <c r="DN164">
        <v>0</v>
      </c>
      <c r="DO164">
        <v>0</v>
      </c>
      <c r="DP164">
        <v>1</v>
      </c>
      <c r="DQ164">
        <v>1</v>
      </c>
      <c r="DU164">
        <v>1009</v>
      </c>
      <c r="DV164" t="s">
        <v>72</v>
      </c>
      <c r="DW164" t="s">
        <v>72</v>
      </c>
      <c r="DX164">
        <v>1000</v>
      </c>
      <c r="EE164">
        <v>39174630</v>
      </c>
      <c r="EF164">
        <v>6</v>
      </c>
      <c r="EG164" t="s">
        <v>19</v>
      </c>
      <c r="EH164">
        <v>0</v>
      </c>
      <c r="EI164" t="s">
        <v>3</v>
      </c>
      <c r="EJ164">
        <v>1</v>
      </c>
      <c r="EK164">
        <v>69001</v>
      </c>
      <c r="EL164" t="s">
        <v>371</v>
      </c>
      <c r="EM164" t="s">
        <v>372</v>
      </c>
      <c r="EO164" t="s">
        <v>3</v>
      </c>
      <c r="EQ164">
        <v>0</v>
      </c>
      <c r="ER164">
        <v>23.81</v>
      </c>
      <c r="ES164">
        <v>16.399999999999999</v>
      </c>
      <c r="ET164">
        <v>0</v>
      </c>
      <c r="EU164">
        <v>0</v>
      </c>
      <c r="EV164">
        <v>7.41</v>
      </c>
      <c r="EW164">
        <v>1.03</v>
      </c>
      <c r="EX164">
        <v>0</v>
      </c>
      <c r="EY164">
        <v>0</v>
      </c>
      <c r="FQ164">
        <v>0</v>
      </c>
      <c r="FR164">
        <f>ROUND(IF(AND(BH164=3,BI164=3),P164,0),2)</f>
        <v>0</v>
      </c>
      <c r="FS164">
        <v>0</v>
      </c>
      <c r="FX164">
        <v>78</v>
      </c>
      <c r="FY164">
        <v>50</v>
      </c>
      <c r="GA164" t="s">
        <v>3</v>
      </c>
      <c r="GD164">
        <v>0</v>
      </c>
      <c r="GF164">
        <v>-38060493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>ROUND(IF(AND(BH164=3,BI164=3,FS164&lt;&gt;0),P164,0),2)</f>
        <v>0</v>
      </c>
      <c r="GM164">
        <f>ROUND(O164+X164+Y164+GK164,2)+GX164</f>
        <v>2715.77</v>
      </c>
      <c r="GN164">
        <f>IF(OR(BI164=0,BI164=1),ROUND(O164+X164+Y164+GK164,2),0)</f>
        <v>2715.77</v>
      </c>
      <c r="GO164">
        <f>IF(BI164=2,ROUND(O164+X164+Y164+GK164,2),0)</f>
        <v>0</v>
      </c>
      <c r="GP164">
        <f>IF(BI164=4,ROUND(O164+X164+Y164+GK164,2)+GX164,0)</f>
        <v>0</v>
      </c>
      <c r="GR164">
        <v>0</v>
      </c>
      <c r="GS164">
        <v>3</v>
      </c>
      <c r="GT164">
        <v>0</v>
      </c>
      <c r="GU164" t="s">
        <v>3</v>
      </c>
      <c r="GV164">
        <f>ROUND(GT164,2)</f>
        <v>0</v>
      </c>
      <c r="GW164">
        <v>1</v>
      </c>
      <c r="GX164">
        <f>ROUND(GV164*GW164*I164,2)</f>
        <v>0</v>
      </c>
      <c r="HA164">
        <v>0</v>
      </c>
      <c r="HB164">
        <v>0</v>
      </c>
      <c r="IK164">
        <v>0</v>
      </c>
    </row>
    <row r="165" spans="1:245" x14ac:dyDescent="0.2">
      <c r="A165">
        <v>17</v>
      </c>
      <c r="B165">
        <v>1</v>
      </c>
      <c r="E165" t="s">
        <v>373</v>
      </c>
      <c r="F165" t="s">
        <v>374</v>
      </c>
      <c r="G165" t="s">
        <v>375</v>
      </c>
      <c r="H165" t="s">
        <v>376</v>
      </c>
      <c r="I165">
        <v>12.34</v>
      </c>
      <c r="J165">
        <v>0</v>
      </c>
      <c r="O165">
        <f>0</f>
        <v>0</v>
      </c>
      <c r="P165">
        <f>0</f>
        <v>0</v>
      </c>
      <c r="Q165">
        <f>0</f>
        <v>0</v>
      </c>
      <c r="R165">
        <f>0</f>
        <v>0</v>
      </c>
      <c r="S165">
        <f>0</f>
        <v>0</v>
      </c>
      <c r="T165">
        <f>0</f>
        <v>0</v>
      </c>
      <c r="U165">
        <f>0</f>
        <v>0</v>
      </c>
      <c r="V165">
        <f>0</f>
        <v>0</v>
      </c>
      <c r="W165">
        <f>0</f>
        <v>0</v>
      </c>
      <c r="X165">
        <f>0</f>
        <v>0</v>
      </c>
      <c r="Y165">
        <f>0</f>
        <v>0</v>
      </c>
      <c r="AA165">
        <v>39616881</v>
      </c>
      <c r="AB165">
        <f>ROUND((AK165),2)</f>
        <v>42.98</v>
      </c>
      <c r="AC165">
        <f>0</f>
        <v>0</v>
      </c>
      <c r="AD165">
        <f>0</f>
        <v>0</v>
      </c>
      <c r="AE165">
        <f>0</f>
        <v>0</v>
      </c>
      <c r="AF165">
        <f>0</f>
        <v>0</v>
      </c>
      <c r="AG165">
        <f>0</f>
        <v>0</v>
      </c>
      <c r="AH165">
        <f>0</f>
        <v>0</v>
      </c>
      <c r="AI165">
        <f>0</f>
        <v>0</v>
      </c>
      <c r="AJ165">
        <f>0</f>
        <v>0</v>
      </c>
      <c r="AK165">
        <v>42.98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1</v>
      </c>
      <c r="AW165">
        <v>1</v>
      </c>
      <c r="AZ165">
        <v>6.61</v>
      </c>
      <c r="BA165">
        <v>1</v>
      </c>
      <c r="BB165">
        <v>1</v>
      </c>
      <c r="BC165">
        <v>1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1</v>
      </c>
      <c r="BJ165" t="s">
        <v>377</v>
      </c>
      <c r="BM165">
        <v>700004</v>
      </c>
      <c r="BN165">
        <v>0</v>
      </c>
      <c r="BO165" t="s">
        <v>3</v>
      </c>
      <c r="BP165">
        <v>0</v>
      </c>
      <c r="BQ165">
        <v>19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0</v>
      </c>
      <c r="CA165">
        <v>0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>AB165*AZ165</f>
        <v>284.09780000000001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C165" t="s">
        <v>3</v>
      </c>
      <c r="DD165" t="s">
        <v>3</v>
      </c>
      <c r="DE165" t="s">
        <v>3</v>
      </c>
      <c r="DF165" t="s">
        <v>3</v>
      </c>
      <c r="DG165" t="s">
        <v>3</v>
      </c>
      <c r="DH165" t="s">
        <v>3</v>
      </c>
      <c r="DI165" t="s">
        <v>3</v>
      </c>
      <c r="DJ165" t="s">
        <v>3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376</v>
      </c>
      <c r="DW165" t="s">
        <v>376</v>
      </c>
      <c r="DX165">
        <v>1</v>
      </c>
      <c r="EE165">
        <v>39174691</v>
      </c>
      <c r="EF165">
        <v>19</v>
      </c>
      <c r="EG165" t="s">
        <v>378</v>
      </c>
      <c r="EH165">
        <v>0</v>
      </c>
      <c r="EI165" t="s">
        <v>3</v>
      </c>
      <c r="EJ165">
        <v>1</v>
      </c>
      <c r="EK165">
        <v>700004</v>
      </c>
      <c r="EL165" t="s">
        <v>379</v>
      </c>
      <c r="EM165" t="s">
        <v>380</v>
      </c>
      <c r="EO165" t="s">
        <v>3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FQ165">
        <v>0</v>
      </c>
      <c r="FR165">
        <f>ROUND(IF(AND(BH165=3,BI165=3),P165,0),2)</f>
        <v>0</v>
      </c>
      <c r="FS165">
        <v>0</v>
      </c>
      <c r="FX165">
        <v>0</v>
      </c>
      <c r="FY165">
        <v>0</v>
      </c>
      <c r="GA165" t="s">
        <v>3</v>
      </c>
      <c r="GD165">
        <v>0</v>
      </c>
      <c r="GF165">
        <v>68385352</v>
      </c>
      <c r="GG165">
        <v>1</v>
      </c>
      <c r="GH165">
        <v>1</v>
      </c>
      <c r="GI165">
        <v>4</v>
      </c>
      <c r="GJ165">
        <v>2</v>
      </c>
      <c r="GK165">
        <f>ROUND(R165*(R12)/100,2)</f>
        <v>0</v>
      </c>
      <c r="GL165">
        <f>ROUND(IF(AND(BH165=3,BI165=3,FS165&lt;&gt;0),P165,0),2)</f>
        <v>0</v>
      </c>
      <c r="GM165">
        <f>ROUND(CP165*I165,2)</f>
        <v>3505.77</v>
      </c>
      <c r="GN165">
        <f>IF(OR(BI165=0,BI165=1),ROUND(CP165*I165,2),0)</f>
        <v>3505.77</v>
      </c>
      <c r="GO165">
        <f>IF(BI165=2,ROUND(CP165*I165,2),0)</f>
        <v>0</v>
      </c>
      <c r="GP165">
        <f>IF(BI165=4,ROUND(CP165*I165,2)+GX165,0)</f>
        <v>0</v>
      </c>
      <c r="GR165">
        <v>0</v>
      </c>
      <c r="GS165">
        <v>3</v>
      </c>
      <c r="GU165" t="s">
        <v>3</v>
      </c>
      <c r="GV165">
        <f>0</f>
        <v>0</v>
      </c>
      <c r="GW165">
        <v>1</v>
      </c>
      <c r="GX165">
        <f>ROUND(GV165*GW165*I165,2)</f>
        <v>0</v>
      </c>
      <c r="GY165">
        <v>0</v>
      </c>
      <c r="GZ165">
        <v>0</v>
      </c>
      <c r="HA165">
        <v>0</v>
      </c>
      <c r="HB165">
        <v>0</v>
      </c>
      <c r="IK165">
        <v>0</v>
      </c>
    </row>
    <row r="166" spans="1:245" x14ac:dyDescent="0.2">
      <c r="A166">
        <v>17</v>
      </c>
      <c r="B166">
        <v>1</v>
      </c>
      <c r="E166" t="s">
        <v>381</v>
      </c>
      <c r="F166" t="s">
        <v>382</v>
      </c>
      <c r="G166" t="s">
        <v>383</v>
      </c>
      <c r="H166" t="s">
        <v>376</v>
      </c>
      <c r="I166">
        <v>12.34</v>
      </c>
      <c r="J166">
        <v>0</v>
      </c>
      <c r="O166">
        <f>0</f>
        <v>0</v>
      </c>
      <c r="P166">
        <f>0</f>
        <v>0</v>
      </c>
      <c r="Q166">
        <f>0</f>
        <v>0</v>
      </c>
      <c r="R166">
        <f>0</f>
        <v>0</v>
      </c>
      <c r="S166">
        <f>0</f>
        <v>0</v>
      </c>
      <c r="T166">
        <f>0</f>
        <v>0</v>
      </c>
      <c r="U166">
        <f>0</f>
        <v>0</v>
      </c>
      <c r="V166">
        <f>0</f>
        <v>0</v>
      </c>
      <c r="W166">
        <f>0</f>
        <v>0</v>
      </c>
      <c r="X166">
        <f>0</f>
        <v>0</v>
      </c>
      <c r="Y166">
        <f>0</f>
        <v>0</v>
      </c>
      <c r="AA166">
        <v>39616881</v>
      </c>
      <c r="AB166">
        <f>ROUND((AK166),2)</f>
        <v>29.16</v>
      </c>
      <c r="AC166">
        <f>0</f>
        <v>0</v>
      </c>
      <c r="AD166">
        <f>0</f>
        <v>0</v>
      </c>
      <c r="AE166">
        <f>0</f>
        <v>0</v>
      </c>
      <c r="AF166">
        <f>0</f>
        <v>0</v>
      </c>
      <c r="AG166">
        <f>0</f>
        <v>0</v>
      </c>
      <c r="AH166">
        <f>0</f>
        <v>0</v>
      </c>
      <c r="AI166">
        <f>0</f>
        <v>0</v>
      </c>
      <c r="AJ166">
        <f>0</f>
        <v>0</v>
      </c>
      <c r="AK166">
        <v>29.16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1</v>
      </c>
      <c r="AW166">
        <v>1</v>
      </c>
      <c r="AZ166">
        <v>6.61</v>
      </c>
      <c r="BA166">
        <v>1</v>
      </c>
      <c r="BB166">
        <v>1</v>
      </c>
      <c r="BC166">
        <v>1</v>
      </c>
      <c r="BD166" t="s">
        <v>3</v>
      </c>
      <c r="BE166" t="s">
        <v>3</v>
      </c>
      <c r="BF166" t="s">
        <v>3</v>
      </c>
      <c r="BG166" t="s">
        <v>3</v>
      </c>
      <c r="BH166">
        <v>0</v>
      </c>
      <c r="BI166">
        <v>1</v>
      </c>
      <c r="BJ166" t="s">
        <v>384</v>
      </c>
      <c r="BM166">
        <v>700005</v>
      </c>
      <c r="BN166">
        <v>0</v>
      </c>
      <c r="BO166" t="s">
        <v>3</v>
      </c>
      <c r="BP166">
        <v>0</v>
      </c>
      <c r="BQ166">
        <v>10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3</v>
      </c>
      <c r="BZ166">
        <v>0</v>
      </c>
      <c r="CA166">
        <v>0</v>
      </c>
      <c r="CF166">
        <v>0</v>
      </c>
      <c r="CG166">
        <v>0</v>
      </c>
      <c r="CM166">
        <v>0</v>
      </c>
      <c r="CN166" t="s">
        <v>3</v>
      </c>
      <c r="CO166">
        <v>0</v>
      </c>
      <c r="CP166">
        <f>AB166*AZ166</f>
        <v>192.74760000000001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C166" t="s">
        <v>3</v>
      </c>
      <c r="DD166" t="s">
        <v>3</v>
      </c>
      <c r="DE166" t="s">
        <v>3</v>
      </c>
      <c r="DF166" t="s">
        <v>3</v>
      </c>
      <c r="DG166" t="s">
        <v>3</v>
      </c>
      <c r="DH166" t="s">
        <v>3</v>
      </c>
      <c r="DI166" t="s">
        <v>3</v>
      </c>
      <c r="DJ166" t="s">
        <v>3</v>
      </c>
      <c r="DK166" t="s">
        <v>3</v>
      </c>
      <c r="DL166" t="s">
        <v>3</v>
      </c>
      <c r="DM166" t="s">
        <v>3</v>
      </c>
      <c r="DN166">
        <v>0</v>
      </c>
      <c r="DO166">
        <v>0</v>
      </c>
      <c r="DP166">
        <v>1</v>
      </c>
      <c r="DQ166">
        <v>1</v>
      </c>
      <c r="DU166">
        <v>1013</v>
      </c>
      <c r="DV166" t="s">
        <v>376</v>
      </c>
      <c r="DW166" t="s">
        <v>376</v>
      </c>
      <c r="DX166">
        <v>1</v>
      </c>
      <c r="EE166">
        <v>39174695</v>
      </c>
      <c r="EF166">
        <v>10</v>
      </c>
      <c r="EG166" t="s">
        <v>385</v>
      </c>
      <c r="EH166">
        <v>0</v>
      </c>
      <c r="EI166" t="s">
        <v>3</v>
      </c>
      <c r="EJ166">
        <v>1</v>
      </c>
      <c r="EK166">
        <v>700005</v>
      </c>
      <c r="EL166" t="s">
        <v>386</v>
      </c>
      <c r="EM166" t="s">
        <v>387</v>
      </c>
      <c r="EO166" t="s">
        <v>3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FQ166">
        <v>0</v>
      </c>
      <c r="FR166">
        <f>ROUND(IF(AND(BH166=3,BI166=3),P166,0),2)</f>
        <v>0</v>
      </c>
      <c r="FS166">
        <v>0</v>
      </c>
      <c r="FX166">
        <v>0</v>
      </c>
      <c r="FY166">
        <v>0</v>
      </c>
      <c r="GA166" t="s">
        <v>3</v>
      </c>
      <c r="GD166">
        <v>0</v>
      </c>
      <c r="GF166">
        <v>127993752</v>
      </c>
      <c r="GG166">
        <v>1</v>
      </c>
      <c r="GH166">
        <v>1</v>
      </c>
      <c r="GI166">
        <v>4</v>
      </c>
      <c r="GJ166">
        <v>2</v>
      </c>
      <c r="GK166">
        <f>ROUND(R166*(R12)/100,2)</f>
        <v>0</v>
      </c>
      <c r="GL166">
        <f>ROUND(IF(AND(BH166=3,BI166=3,FS166&lt;&gt;0),P166,0),2)</f>
        <v>0</v>
      </c>
      <c r="GM166">
        <f>ROUND(CP166*I166,2)</f>
        <v>2378.5100000000002</v>
      </c>
      <c r="GN166">
        <f>IF(OR(BI166=0,BI166=1),ROUND(CP166*I166,2),0)</f>
        <v>2378.5100000000002</v>
      </c>
      <c r="GO166">
        <f>IF(BI166=2,ROUND(CP166*I166,2),0)</f>
        <v>0</v>
      </c>
      <c r="GP166">
        <f>IF(BI166=4,ROUND(CP166*I166,2)+GX166,0)</f>
        <v>0</v>
      </c>
      <c r="GR166">
        <v>0</v>
      </c>
      <c r="GS166">
        <v>3</v>
      </c>
      <c r="GU166" t="s">
        <v>3</v>
      </c>
      <c r="GV166">
        <f>0</f>
        <v>0</v>
      </c>
      <c r="GW166">
        <v>1</v>
      </c>
      <c r="GX166">
        <f>ROUND(GV166*GW166*I166,2)</f>
        <v>0</v>
      </c>
      <c r="GY166">
        <v>0</v>
      </c>
      <c r="GZ166">
        <v>0</v>
      </c>
      <c r="HA166">
        <v>0</v>
      </c>
      <c r="HB166">
        <v>0</v>
      </c>
      <c r="IK166">
        <v>0</v>
      </c>
    </row>
    <row r="168" spans="1:245" x14ac:dyDescent="0.2">
      <c r="A168" s="2">
        <v>51</v>
      </c>
      <c r="B168" s="2">
        <f>B160</f>
        <v>1</v>
      </c>
      <c r="C168" s="2">
        <f>A160</f>
        <v>4</v>
      </c>
      <c r="D168" s="2">
        <f>ROW(A160)</f>
        <v>160</v>
      </c>
      <c r="E168" s="2"/>
      <c r="F168" s="2" t="str">
        <f>IF(F160&lt;&gt;"",F160,"")</f>
        <v>Новый раздел</v>
      </c>
      <c r="G168" s="2" t="str">
        <f>IF(G160&lt;&gt;"",G160,"")</f>
        <v>3 Уборка и вывоз мусора</v>
      </c>
      <c r="H168" s="2">
        <v>0</v>
      </c>
      <c r="I168" s="2"/>
      <c r="J168" s="2"/>
      <c r="K168" s="2"/>
      <c r="L168" s="2"/>
      <c r="M168" s="2"/>
      <c r="N168" s="2"/>
      <c r="O168" s="2">
        <f t="shared" ref="O168:T168" si="126">ROUND(AB168,2)</f>
        <v>1942.12</v>
      </c>
      <c r="P168" s="2">
        <f t="shared" si="126"/>
        <v>1337.71</v>
      </c>
      <c r="Q168" s="2">
        <f t="shared" si="126"/>
        <v>0</v>
      </c>
      <c r="R168" s="2">
        <f t="shared" si="126"/>
        <v>0</v>
      </c>
      <c r="S168" s="2">
        <f t="shared" si="126"/>
        <v>604.41</v>
      </c>
      <c r="T168" s="2">
        <f t="shared" si="126"/>
        <v>0</v>
      </c>
      <c r="U168" s="2">
        <f>AH168</f>
        <v>12.7102</v>
      </c>
      <c r="V168" s="2">
        <f>AI168</f>
        <v>0</v>
      </c>
      <c r="W168" s="2">
        <f>ROUND(AJ168,2)</f>
        <v>0</v>
      </c>
      <c r="X168" s="2">
        <f>ROUND(AK168,2)</f>
        <v>471.44</v>
      </c>
      <c r="Y168" s="2">
        <f>ROUND(AL168,2)</f>
        <v>302.20999999999998</v>
      </c>
      <c r="Z168" s="2"/>
      <c r="AA168" s="2"/>
      <c r="AB168" s="2">
        <f>ROUND(SUMIF(AA164:AA166,"=39616881",O164:O166),2)</f>
        <v>1942.12</v>
      </c>
      <c r="AC168" s="2">
        <f>ROUND(SUMIF(AA164:AA166,"=39616881",P164:P166),2)</f>
        <v>1337.71</v>
      </c>
      <c r="AD168" s="2">
        <f>ROUND(SUMIF(AA164:AA166,"=39616881",Q164:Q166),2)</f>
        <v>0</v>
      </c>
      <c r="AE168" s="2">
        <f>ROUND(SUMIF(AA164:AA166,"=39616881",R164:R166),2)</f>
        <v>0</v>
      </c>
      <c r="AF168" s="2">
        <f>ROUND(SUMIF(AA164:AA166,"=39616881",S164:S166),2)</f>
        <v>604.41</v>
      </c>
      <c r="AG168" s="2">
        <f>ROUND(SUMIF(AA164:AA166,"=39616881",T164:T166),2)</f>
        <v>0</v>
      </c>
      <c r="AH168" s="2">
        <f>SUMIF(AA164:AA166,"=39616881",U164:U166)</f>
        <v>12.7102</v>
      </c>
      <c r="AI168" s="2">
        <f>SUMIF(AA164:AA166,"=39616881",V164:V166)</f>
        <v>0</v>
      </c>
      <c r="AJ168" s="2">
        <f>ROUND(SUMIF(AA164:AA166,"=39616881",W164:W166),2)</f>
        <v>0</v>
      </c>
      <c r="AK168" s="2">
        <f>ROUND(SUMIF(AA164:AA166,"=39616881",X164:X166),2)</f>
        <v>471.44</v>
      </c>
      <c r="AL168" s="2">
        <f>ROUND(SUMIF(AA164:AA166,"=39616881",Y164:Y166),2)</f>
        <v>302.20999999999998</v>
      </c>
      <c r="AM168" s="2"/>
      <c r="AN168" s="2"/>
      <c r="AO168" s="2">
        <f t="shared" ref="AO168:BC168" si="127">ROUND(BX168,2)</f>
        <v>0</v>
      </c>
      <c r="AP168" s="2">
        <f t="shared" si="127"/>
        <v>0</v>
      </c>
      <c r="AQ168" s="2">
        <f t="shared" si="127"/>
        <v>0</v>
      </c>
      <c r="AR168" s="2">
        <f t="shared" si="127"/>
        <v>8600.0499999999993</v>
      </c>
      <c r="AS168" s="2">
        <f t="shared" si="127"/>
        <v>8600.0499999999993</v>
      </c>
      <c r="AT168" s="2">
        <f t="shared" si="127"/>
        <v>0</v>
      </c>
      <c r="AU168" s="2">
        <f t="shared" si="127"/>
        <v>0</v>
      </c>
      <c r="AV168" s="2">
        <f t="shared" si="127"/>
        <v>1337.71</v>
      </c>
      <c r="AW168" s="2">
        <f t="shared" si="127"/>
        <v>1337.71</v>
      </c>
      <c r="AX168" s="2">
        <f t="shared" si="127"/>
        <v>0</v>
      </c>
      <c r="AY168" s="2">
        <f t="shared" si="127"/>
        <v>1337.71</v>
      </c>
      <c r="AZ168" s="2">
        <f t="shared" si="127"/>
        <v>0</v>
      </c>
      <c r="BA168" s="2">
        <f t="shared" si="127"/>
        <v>0</v>
      </c>
      <c r="BB168" s="2">
        <f t="shared" si="127"/>
        <v>0</v>
      </c>
      <c r="BC168" s="2">
        <f t="shared" si="127"/>
        <v>0</v>
      </c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>
        <f>ROUND(SUMIF(AA164:AA166,"=39616881",FQ164:FQ166),2)</f>
        <v>0</v>
      </c>
      <c r="BY168" s="2">
        <f>ROUND(SUMIF(AA164:AA166,"=39616881",FR164:FR166),2)</f>
        <v>0</v>
      </c>
      <c r="BZ168" s="2">
        <f>ROUND(SUMIF(AA164:AA166,"=39616881",GL164:GL166),2)</f>
        <v>0</v>
      </c>
      <c r="CA168" s="2">
        <f>ROUND(SUMIF(AA164:AA166,"=39616881",GM164:GM166),2)</f>
        <v>8600.0499999999993</v>
      </c>
      <c r="CB168" s="2">
        <f>ROUND(SUMIF(AA164:AA166,"=39616881",GN164:GN166),2)</f>
        <v>8600.0499999999993</v>
      </c>
      <c r="CC168" s="2">
        <f>ROUND(SUMIF(AA164:AA166,"=39616881",GO164:GO166),2)</f>
        <v>0</v>
      </c>
      <c r="CD168" s="2">
        <f>ROUND(SUMIF(AA164:AA166,"=39616881",GP164:GP166),2)</f>
        <v>0</v>
      </c>
      <c r="CE168" s="2">
        <f>AC168-BX168</f>
        <v>1337.71</v>
      </c>
      <c r="CF168" s="2">
        <f>AC168-BY168</f>
        <v>1337.71</v>
      </c>
      <c r="CG168" s="2">
        <f>BX168-BZ168</f>
        <v>0</v>
      </c>
      <c r="CH168" s="2">
        <f>AC168-BX168-BY168+BZ168</f>
        <v>1337.71</v>
      </c>
      <c r="CI168" s="2">
        <f>BY168-BZ168</f>
        <v>0</v>
      </c>
      <c r="CJ168" s="2">
        <f>ROUND(SUMIF(AA164:AA166,"=39616881",GX164:GX166),2)</f>
        <v>0</v>
      </c>
      <c r="CK168" s="2">
        <f>ROUND(SUMIF(AA164:AA166,"=39616881",GY164:GY166),2)</f>
        <v>0</v>
      </c>
      <c r="CL168" s="2">
        <f>ROUND(SUMIF(AA164:AA166,"=39616881",GZ164:GZ166),2)</f>
        <v>0</v>
      </c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>
        <v>0</v>
      </c>
    </row>
    <row r="170" spans="1:245" x14ac:dyDescent="0.2">
      <c r="A170" s="4">
        <v>50</v>
      </c>
      <c r="B170" s="4">
        <v>0</v>
      </c>
      <c r="C170" s="4">
        <v>0</v>
      </c>
      <c r="D170" s="4">
        <v>1</v>
      </c>
      <c r="E170" s="4">
        <v>201</v>
      </c>
      <c r="F170" s="4">
        <f>ROUND(Source!O168,O170)</f>
        <v>1942.12</v>
      </c>
      <c r="G170" s="4" t="s">
        <v>201</v>
      </c>
      <c r="H170" s="4" t="s">
        <v>202</v>
      </c>
      <c r="I170" s="4"/>
      <c r="J170" s="4"/>
      <c r="K170" s="4">
        <v>201</v>
      </c>
      <c r="L170" s="4">
        <v>1</v>
      </c>
      <c r="M170" s="4">
        <v>3</v>
      </c>
      <c r="N170" s="4" t="s">
        <v>3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245" x14ac:dyDescent="0.2">
      <c r="A171" s="4">
        <v>50</v>
      </c>
      <c r="B171" s="4">
        <v>0</v>
      </c>
      <c r="C171" s="4">
        <v>0</v>
      </c>
      <c r="D171" s="4">
        <v>1</v>
      </c>
      <c r="E171" s="4">
        <v>202</v>
      </c>
      <c r="F171" s="4">
        <f>ROUND(Source!P168,O171)</f>
        <v>1337.71</v>
      </c>
      <c r="G171" s="4" t="s">
        <v>203</v>
      </c>
      <c r="H171" s="4" t="s">
        <v>204</v>
      </c>
      <c r="I171" s="4"/>
      <c r="J171" s="4"/>
      <c r="K171" s="4">
        <v>202</v>
      </c>
      <c r="L171" s="4">
        <v>2</v>
      </c>
      <c r="M171" s="4">
        <v>3</v>
      </c>
      <c r="N171" s="4" t="s">
        <v>3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245" x14ac:dyDescent="0.2">
      <c r="A172" s="4">
        <v>50</v>
      </c>
      <c r="B172" s="4">
        <v>0</v>
      </c>
      <c r="C172" s="4">
        <v>0</v>
      </c>
      <c r="D172" s="4">
        <v>1</v>
      </c>
      <c r="E172" s="4">
        <v>222</v>
      </c>
      <c r="F172" s="4">
        <f>ROUND(Source!AO168,O172)</f>
        <v>0</v>
      </c>
      <c r="G172" s="4" t="s">
        <v>205</v>
      </c>
      <c r="H172" s="4" t="s">
        <v>206</v>
      </c>
      <c r="I172" s="4"/>
      <c r="J172" s="4"/>
      <c r="K172" s="4">
        <v>222</v>
      </c>
      <c r="L172" s="4">
        <v>3</v>
      </c>
      <c r="M172" s="4">
        <v>3</v>
      </c>
      <c r="N172" s="4" t="s">
        <v>3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3" spans="1:245" x14ac:dyDescent="0.2">
      <c r="A173" s="4">
        <v>50</v>
      </c>
      <c r="B173" s="4">
        <v>0</v>
      </c>
      <c r="C173" s="4">
        <v>0</v>
      </c>
      <c r="D173" s="4">
        <v>1</v>
      </c>
      <c r="E173" s="4">
        <v>225</v>
      </c>
      <c r="F173" s="4">
        <f>ROUND(Source!AV168,O173)</f>
        <v>1337.71</v>
      </c>
      <c r="G173" s="4" t="s">
        <v>207</v>
      </c>
      <c r="H173" s="4" t="s">
        <v>208</v>
      </c>
      <c r="I173" s="4"/>
      <c r="J173" s="4"/>
      <c r="K173" s="4">
        <v>225</v>
      </c>
      <c r="L173" s="4">
        <v>4</v>
      </c>
      <c r="M173" s="4">
        <v>3</v>
      </c>
      <c r="N173" s="4" t="s">
        <v>3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4" spans="1:245" x14ac:dyDescent="0.2">
      <c r="A174" s="4">
        <v>50</v>
      </c>
      <c r="B174" s="4">
        <v>0</v>
      </c>
      <c r="C174" s="4">
        <v>0</v>
      </c>
      <c r="D174" s="4">
        <v>1</v>
      </c>
      <c r="E174" s="4">
        <v>226</v>
      </c>
      <c r="F174" s="4">
        <f>ROUND(Source!AW168,O174)</f>
        <v>1337.71</v>
      </c>
      <c r="G174" s="4" t="s">
        <v>209</v>
      </c>
      <c r="H174" s="4" t="s">
        <v>210</v>
      </c>
      <c r="I174" s="4"/>
      <c r="J174" s="4"/>
      <c r="K174" s="4">
        <v>226</v>
      </c>
      <c r="L174" s="4">
        <v>5</v>
      </c>
      <c r="M174" s="4">
        <v>3</v>
      </c>
      <c r="N174" s="4" t="s">
        <v>3</v>
      </c>
      <c r="O174" s="4">
        <v>2</v>
      </c>
      <c r="P174" s="4"/>
      <c r="Q174" s="4"/>
      <c r="R174" s="4"/>
      <c r="S174" s="4"/>
      <c r="T174" s="4"/>
      <c r="U174" s="4"/>
      <c r="V174" s="4"/>
      <c r="W174" s="4"/>
    </row>
    <row r="175" spans="1:245" x14ac:dyDescent="0.2">
      <c r="A175" s="4">
        <v>50</v>
      </c>
      <c r="B175" s="4">
        <v>0</v>
      </c>
      <c r="C175" s="4">
        <v>0</v>
      </c>
      <c r="D175" s="4">
        <v>1</v>
      </c>
      <c r="E175" s="4">
        <v>227</v>
      </c>
      <c r="F175" s="4">
        <f>ROUND(Source!AX168,O175)</f>
        <v>0</v>
      </c>
      <c r="G175" s="4" t="s">
        <v>211</v>
      </c>
      <c r="H175" s="4" t="s">
        <v>212</v>
      </c>
      <c r="I175" s="4"/>
      <c r="J175" s="4"/>
      <c r="K175" s="4">
        <v>227</v>
      </c>
      <c r="L175" s="4">
        <v>6</v>
      </c>
      <c r="M175" s="4">
        <v>3</v>
      </c>
      <c r="N175" s="4" t="s">
        <v>3</v>
      </c>
      <c r="O175" s="4">
        <v>2</v>
      </c>
      <c r="P175" s="4"/>
      <c r="Q175" s="4"/>
      <c r="R175" s="4"/>
      <c r="S175" s="4"/>
      <c r="T175" s="4"/>
      <c r="U175" s="4"/>
      <c r="V175" s="4"/>
      <c r="W175" s="4"/>
    </row>
    <row r="176" spans="1:245" x14ac:dyDescent="0.2">
      <c r="A176" s="4">
        <v>50</v>
      </c>
      <c r="B176" s="4">
        <v>0</v>
      </c>
      <c r="C176" s="4">
        <v>0</v>
      </c>
      <c r="D176" s="4">
        <v>1</v>
      </c>
      <c r="E176" s="4">
        <v>228</v>
      </c>
      <c r="F176" s="4">
        <f>ROUND(Source!AY168,O176)</f>
        <v>1337.71</v>
      </c>
      <c r="G176" s="4" t="s">
        <v>213</v>
      </c>
      <c r="H176" s="4" t="s">
        <v>214</v>
      </c>
      <c r="I176" s="4"/>
      <c r="J176" s="4"/>
      <c r="K176" s="4">
        <v>228</v>
      </c>
      <c r="L176" s="4">
        <v>7</v>
      </c>
      <c r="M176" s="4">
        <v>3</v>
      </c>
      <c r="N176" s="4" t="s">
        <v>3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23" x14ac:dyDescent="0.2">
      <c r="A177" s="4">
        <v>50</v>
      </c>
      <c r="B177" s="4">
        <v>0</v>
      </c>
      <c r="C177" s="4">
        <v>0</v>
      </c>
      <c r="D177" s="4">
        <v>1</v>
      </c>
      <c r="E177" s="4">
        <v>216</v>
      </c>
      <c r="F177" s="4">
        <f>ROUND(Source!AP168,O177)</f>
        <v>0</v>
      </c>
      <c r="G177" s="4" t="s">
        <v>215</v>
      </c>
      <c r="H177" s="4" t="s">
        <v>216</v>
      </c>
      <c r="I177" s="4"/>
      <c r="J177" s="4"/>
      <c r="K177" s="4">
        <v>216</v>
      </c>
      <c r="L177" s="4">
        <v>8</v>
      </c>
      <c r="M177" s="4">
        <v>3</v>
      </c>
      <c r="N177" s="4" t="s">
        <v>3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8" spans="1:23" x14ac:dyDescent="0.2">
      <c r="A178" s="4">
        <v>50</v>
      </c>
      <c r="B178" s="4">
        <v>0</v>
      </c>
      <c r="C178" s="4">
        <v>0</v>
      </c>
      <c r="D178" s="4">
        <v>1</v>
      </c>
      <c r="E178" s="4">
        <v>223</v>
      </c>
      <c r="F178" s="4">
        <f>ROUND(Source!AQ168,O178)</f>
        <v>0</v>
      </c>
      <c r="G178" s="4" t="s">
        <v>217</v>
      </c>
      <c r="H178" s="4" t="s">
        <v>218</v>
      </c>
      <c r="I178" s="4"/>
      <c r="J178" s="4"/>
      <c r="K178" s="4">
        <v>223</v>
      </c>
      <c r="L178" s="4">
        <v>9</v>
      </c>
      <c r="M178" s="4">
        <v>3</v>
      </c>
      <c r="N178" s="4" t="s">
        <v>3</v>
      </c>
      <c r="O178" s="4">
        <v>2</v>
      </c>
      <c r="P178" s="4"/>
      <c r="Q178" s="4"/>
      <c r="R178" s="4"/>
      <c r="S178" s="4"/>
      <c r="T178" s="4"/>
      <c r="U178" s="4"/>
      <c r="V178" s="4"/>
      <c r="W178" s="4"/>
    </row>
    <row r="179" spans="1:23" x14ac:dyDescent="0.2">
      <c r="A179" s="4">
        <v>50</v>
      </c>
      <c r="B179" s="4">
        <v>0</v>
      </c>
      <c r="C179" s="4">
        <v>0</v>
      </c>
      <c r="D179" s="4">
        <v>1</v>
      </c>
      <c r="E179" s="4">
        <v>229</v>
      </c>
      <c r="F179" s="4">
        <f>ROUND(Source!AZ168,O179)</f>
        <v>0</v>
      </c>
      <c r="G179" s="4" t="s">
        <v>219</v>
      </c>
      <c r="H179" s="4" t="s">
        <v>220</v>
      </c>
      <c r="I179" s="4"/>
      <c r="J179" s="4"/>
      <c r="K179" s="4">
        <v>229</v>
      </c>
      <c r="L179" s="4">
        <v>10</v>
      </c>
      <c r="M179" s="4">
        <v>3</v>
      </c>
      <c r="N179" s="4" t="s">
        <v>3</v>
      </c>
      <c r="O179" s="4">
        <v>2</v>
      </c>
      <c r="P179" s="4"/>
      <c r="Q179" s="4"/>
      <c r="R179" s="4"/>
      <c r="S179" s="4"/>
      <c r="T179" s="4"/>
      <c r="U179" s="4"/>
      <c r="V179" s="4"/>
      <c r="W179" s="4"/>
    </row>
    <row r="180" spans="1:23" x14ac:dyDescent="0.2">
      <c r="A180" s="4">
        <v>50</v>
      </c>
      <c r="B180" s="4">
        <v>0</v>
      </c>
      <c r="C180" s="4">
        <v>0</v>
      </c>
      <c r="D180" s="4">
        <v>1</v>
      </c>
      <c r="E180" s="4">
        <v>203</v>
      </c>
      <c r="F180" s="4">
        <f>ROUND(Source!Q168,O180)</f>
        <v>0</v>
      </c>
      <c r="G180" s="4" t="s">
        <v>221</v>
      </c>
      <c r="H180" s="4" t="s">
        <v>222</v>
      </c>
      <c r="I180" s="4"/>
      <c r="J180" s="4"/>
      <c r="K180" s="4">
        <v>203</v>
      </c>
      <c r="L180" s="4">
        <v>11</v>
      </c>
      <c r="M180" s="4">
        <v>3</v>
      </c>
      <c r="N180" s="4" t="s">
        <v>3</v>
      </c>
      <c r="O180" s="4">
        <v>2</v>
      </c>
      <c r="P180" s="4"/>
      <c r="Q180" s="4"/>
      <c r="R180" s="4"/>
      <c r="S180" s="4"/>
      <c r="T180" s="4"/>
      <c r="U180" s="4"/>
      <c r="V180" s="4"/>
      <c r="W180" s="4"/>
    </row>
    <row r="181" spans="1:23" x14ac:dyDescent="0.2">
      <c r="A181" s="4">
        <v>50</v>
      </c>
      <c r="B181" s="4">
        <v>0</v>
      </c>
      <c r="C181" s="4">
        <v>0</v>
      </c>
      <c r="D181" s="4">
        <v>1</v>
      </c>
      <c r="E181" s="4">
        <v>231</v>
      </c>
      <c r="F181" s="4">
        <f>ROUND(Source!BB168,O181)</f>
        <v>0</v>
      </c>
      <c r="G181" s="4" t="s">
        <v>223</v>
      </c>
      <c r="H181" s="4" t="s">
        <v>224</v>
      </c>
      <c r="I181" s="4"/>
      <c r="J181" s="4"/>
      <c r="K181" s="4">
        <v>231</v>
      </c>
      <c r="L181" s="4">
        <v>12</v>
      </c>
      <c r="M181" s="4">
        <v>3</v>
      </c>
      <c r="N181" s="4" t="s">
        <v>3</v>
      </c>
      <c r="O181" s="4">
        <v>2</v>
      </c>
      <c r="P181" s="4"/>
      <c r="Q181" s="4"/>
      <c r="R181" s="4"/>
      <c r="S181" s="4"/>
      <c r="T181" s="4"/>
      <c r="U181" s="4"/>
      <c r="V181" s="4"/>
      <c r="W181" s="4"/>
    </row>
    <row r="182" spans="1:23" x14ac:dyDescent="0.2">
      <c r="A182" s="4">
        <v>50</v>
      </c>
      <c r="B182" s="4">
        <v>0</v>
      </c>
      <c r="C182" s="4">
        <v>0</v>
      </c>
      <c r="D182" s="4">
        <v>1</v>
      </c>
      <c r="E182" s="4">
        <v>204</v>
      </c>
      <c r="F182" s="4">
        <f>ROUND(Source!R168,O182)</f>
        <v>0</v>
      </c>
      <c r="G182" s="4" t="s">
        <v>225</v>
      </c>
      <c r="H182" s="4" t="s">
        <v>226</v>
      </c>
      <c r="I182" s="4"/>
      <c r="J182" s="4"/>
      <c r="K182" s="4">
        <v>204</v>
      </c>
      <c r="L182" s="4">
        <v>13</v>
      </c>
      <c r="M182" s="4">
        <v>3</v>
      </c>
      <c r="N182" s="4" t="s">
        <v>3</v>
      </c>
      <c r="O182" s="4">
        <v>2</v>
      </c>
      <c r="P182" s="4"/>
      <c r="Q182" s="4"/>
      <c r="R182" s="4"/>
      <c r="S182" s="4"/>
      <c r="T182" s="4"/>
      <c r="U182" s="4"/>
      <c r="V182" s="4"/>
      <c r="W182" s="4"/>
    </row>
    <row r="183" spans="1:23" x14ac:dyDescent="0.2">
      <c r="A183" s="4">
        <v>50</v>
      </c>
      <c r="B183" s="4">
        <v>0</v>
      </c>
      <c r="C183" s="4">
        <v>0</v>
      </c>
      <c r="D183" s="4">
        <v>1</v>
      </c>
      <c r="E183" s="4">
        <v>205</v>
      </c>
      <c r="F183" s="4">
        <f>ROUND(Source!S168,O183)</f>
        <v>604.41</v>
      </c>
      <c r="G183" s="4" t="s">
        <v>227</v>
      </c>
      <c r="H183" s="4" t="s">
        <v>228</v>
      </c>
      <c r="I183" s="4"/>
      <c r="J183" s="4"/>
      <c r="K183" s="4">
        <v>205</v>
      </c>
      <c r="L183" s="4">
        <v>14</v>
      </c>
      <c r="M183" s="4">
        <v>3</v>
      </c>
      <c r="N183" s="4" t="s">
        <v>3</v>
      </c>
      <c r="O183" s="4">
        <v>2</v>
      </c>
      <c r="P183" s="4"/>
      <c r="Q183" s="4"/>
      <c r="R183" s="4"/>
      <c r="S183" s="4"/>
      <c r="T183" s="4"/>
      <c r="U183" s="4"/>
      <c r="V183" s="4"/>
      <c r="W183" s="4"/>
    </row>
    <row r="184" spans="1:23" x14ac:dyDescent="0.2">
      <c r="A184" s="4">
        <v>50</v>
      </c>
      <c r="B184" s="4">
        <v>0</v>
      </c>
      <c r="C184" s="4">
        <v>0</v>
      </c>
      <c r="D184" s="4">
        <v>1</v>
      </c>
      <c r="E184" s="4">
        <v>232</v>
      </c>
      <c r="F184" s="4">
        <f>ROUND(Source!BC168,O184)</f>
        <v>0</v>
      </c>
      <c r="G184" s="4" t="s">
        <v>229</v>
      </c>
      <c r="H184" s="4" t="s">
        <v>230</v>
      </c>
      <c r="I184" s="4"/>
      <c r="J184" s="4"/>
      <c r="K184" s="4">
        <v>232</v>
      </c>
      <c r="L184" s="4">
        <v>15</v>
      </c>
      <c r="M184" s="4">
        <v>3</v>
      </c>
      <c r="N184" s="4" t="s">
        <v>3</v>
      </c>
      <c r="O184" s="4">
        <v>2</v>
      </c>
      <c r="P184" s="4"/>
      <c r="Q184" s="4"/>
      <c r="R184" s="4"/>
      <c r="S184" s="4"/>
      <c r="T184" s="4"/>
      <c r="U184" s="4"/>
      <c r="V184" s="4"/>
      <c r="W184" s="4"/>
    </row>
    <row r="185" spans="1:23" x14ac:dyDescent="0.2">
      <c r="A185" s="4">
        <v>50</v>
      </c>
      <c r="B185" s="4">
        <v>0</v>
      </c>
      <c r="C185" s="4">
        <v>0</v>
      </c>
      <c r="D185" s="4">
        <v>1</v>
      </c>
      <c r="E185" s="4">
        <v>214</v>
      </c>
      <c r="F185" s="4">
        <f>ROUND(Source!AS168,O185)</f>
        <v>8600.0499999999993</v>
      </c>
      <c r="G185" s="4" t="s">
        <v>231</v>
      </c>
      <c r="H185" s="4" t="s">
        <v>232</v>
      </c>
      <c r="I185" s="4"/>
      <c r="J185" s="4"/>
      <c r="K185" s="4">
        <v>214</v>
      </c>
      <c r="L185" s="4">
        <v>16</v>
      </c>
      <c r="M185" s="4">
        <v>3</v>
      </c>
      <c r="N185" s="4" t="s">
        <v>3</v>
      </c>
      <c r="O185" s="4">
        <v>2</v>
      </c>
      <c r="P185" s="4"/>
      <c r="Q185" s="4"/>
      <c r="R185" s="4"/>
      <c r="S185" s="4"/>
      <c r="T185" s="4"/>
      <c r="U185" s="4"/>
      <c r="V185" s="4"/>
      <c r="W185" s="4"/>
    </row>
    <row r="186" spans="1:23" x14ac:dyDescent="0.2">
      <c r="A186" s="4">
        <v>50</v>
      </c>
      <c r="B186" s="4">
        <v>0</v>
      </c>
      <c r="C186" s="4">
        <v>0</v>
      </c>
      <c r="D186" s="4">
        <v>1</v>
      </c>
      <c r="E186" s="4">
        <v>215</v>
      </c>
      <c r="F186" s="4">
        <f>ROUND(Source!AT168,O186)</f>
        <v>0</v>
      </c>
      <c r="G186" s="4" t="s">
        <v>233</v>
      </c>
      <c r="H186" s="4" t="s">
        <v>234</v>
      </c>
      <c r="I186" s="4"/>
      <c r="J186" s="4"/>
      <c r="K186" s="4">
        <v>215</v>
      </c>
      <c r="L186" s="4">
        <v>17</v>
      </c>
      <c r="M186" s="4">
        <v>3</v>
      </c>
      <c r="N186" s="4" t="s">
        <v>3</v>
      </c>
      <c r="O186" s="4">
        <v>2</v>
      </c>
      <c r="P186" s="4"/>
      <c r="Q186" s="4"/>
      <c r="R186" s="4"/>
      <c r="S186" s="4"/>
      <c r="T186" s="4"/>
      <c r="U186" s="4"/>
      <c r="V186" s="4"/>
      <c r="W186" s="4"/>
    </row>
    <row r="187" spans="1:23" x14ac:dyDescent="0.2">
      <c r="A187" s="4">
        <v>50</v>
      </c>
      <c r="B187" s="4">
        <v>0</v>
      </c>
      <c r="C187" s="4">
        <v>0</v>
      </c>
      <c r="D187" s="4">
        <v>1</v>
      </c>
      <c r="E187" s="4">
        <v>217</v>
      </c>
      <c r="F187" s="4">
        <f>ROUND(Source!AU168,O187)</f>
        <v>0</v>
      </c>
      <c r="G187" s="4" t="s">
        <v>235</v>
      </c>
      <c r="H187" s="4" t="s">
        <v>236</v>
      </c>
      <c r="I187" s="4"/>
      <c r="J187" s="4"/>
      <c r="K187" s="4">
        <v>217</v>
      </c>
      <c r="L187" s="4">
        <v>18</v>
      </c>
      <c r="M187" s="4">
        <v>3</v>
      </c>
      <c r="N187" s="4" t="s">
        <v>3</v>
      </c>
      <c r="O187" s="4">
        <v>2</v>
      </c>
      <c r="P187" s="4"/>
      <c r="Q187" s="4"/>
      <c r="R187" s="4"/>
      <c r="S187" s="4"/>
      <c r="T187" s="4"/>
      <c r="U187" s="4"/>
      <c r="V187" s="4"/>
      <c r="W187" s="4"/>
    </row>
    <row r="188" spans="1:23" x14ac:dyDescent="0.2">
      <c r="A188" s="4">
        <v>50</v>
      </c>
      <c r="B188" s="4">
        <v>0</v>
      </c>
      <c r="C188" s="4">
        <v>0</v>
      </c>
      <c r="D188" s="4">
        <v>1</v>
      </c>
      <c r="E188" s="4">
        <v>230</v>
      </c>
      <c r="F188" s="4">
        <f>ROUND(Source!BA168,O188)</f>
        <v>0</v>
      </c>
      <c r="G188" s="4" t="s">
        <v>237</v>
      </c>
      <c r="H188" s="4" t="s">
        <v>238</v>
      </c>
      <c r="I188" s="4"/>
      <c r="J188" s="4"/>
      <c r="K188" s="4">
        <v>230</v>
      </c>
      <c r="L188" s="4">
        <v>19</v>
      </c>
      <c r="M188" s="4">
        <v>3</v>
      </c>
      <c r="N188" s="4" t="s">
        <v>3</v>
      </c>
      <c r="O188" s="4">
        <v>2</v>
      </c>
      <c r="P188" s="4"/>
      <c r="Q188" s="4"/>
      <c r="R188" s="4"/>
      <c r="S188" s="4"/>
      <c r="T188" s="4"/>
      <c r="U188" s="4"/>
      <c r="V188" s="4"/>
      <c r="W188" s="4"/>
    </row>
    <row r="189" spans="1:23" x14ac:dyDescent="0.2">
      <c r="A189" s="4">
        <v>50</v>
      </c>
      <c r="B189" s="4">
        <v>0</v>
      </c>
      <c r="C189" s="4">
        <v>0</v>
      </c>
      <c r="D189" s="4">
        <v>1</v>
      </c>
      <c r="E189" s="4">
        <v>206</v>
      </c>
      <c r="F189" s="4">
        <f>ROUND(Source!T168,O189)</f>
        <v>0</v>
      </c>
      <c r="G189" s="4" t="s">
        <v>239</v>
      </c>
      <c r="H189" s="4" t="s">
        <v>240</v>
      </c>
      <c r="I189" s="4"/>
      <c r="J189" s="4"/>
      <c r="K189" s="4">
        <v>206</v>
      </c>
      <c r="L189" s="4">
        <v>20</v>
      </c>
      <c r="M189" s="4">
        <v>3</v>
      </c>
      <c r="N189" s="4" t="s">
        <v>3</v>
      </c>
      <c r="O189" s="4">
        <v>2</v>
      </c>
      <c r="P189" s="4"/>
      <c r="Q189" s="4"/>
      <c r="R189" s="4"/>
      <c r="S189" s="4"/>
      <c r="T189" s="4"/>
      <c r="U189" s="4"/>
      <c r="V189" s="4"/>
      <c r="W189" s="4"/>
    </row>
    <row r="190" spans="1:23" x14ac:dyDescent="0.2">
      <c r="A190" s="4">
        <v>50</v>
      </c>
      <c r="B190" s="4">
        <v>0</v>
      </c>
      <c r="C190" s="4">
        <v>0</v>
      </c>
      <c r="D190" s="4">
        <v>1</v>
      </c>
      <c r="E190" s="4">
        <v>207</v>
      </c>
      <c r="F190" s="4">
        <f>Source!U168</f>
        <v>12.7102</v>
      </c>
      <c r="G190" s="4" t="s">
        <v>241</v>
      </c>
      <c r="H190" s="4" t="s">
        <v>242</v>
      </c>
      <c r="I190" s="4"/>
      <c r="J190" s="4"/>
      <c r="K190" s="4">
        <v>207</v>
      </c>
      <c r="L190" s="4">
        <v>21</v>
      </c>
      <c r="M190" s="4">
        <v>3</v>
      </c>
      <c r="N190" s="4" t="s">
        <v>3</v>
      </c>
      <c r="O190" s="4">
        <v>-1</v>
      </c>
      <c r="P190" s="4"/>
      <c r="Q190" s="4"/>
      <c r="R190" s="4"/>
      <c r="S190" s="4"/>
      <c r="T190" s="4"/>
      <c r="U190" s="4"/>
      <c r="V190" s="4"/>
      <c r="W190" s="4"/>
    </row>
    <row r="191" spans="1:23" x14ac:dyDescent="0.2">
      <c r="A191" s="4">
        <v>50</v>
      </c>
      <c r="B191" s="4">
        <v>0</v>
      </c>
      <c r="C191" s="4">
        <v>0</v>
      </c>
      <c r="D191" s="4">
        <v>1</v>
      </c>
      <c r="E191" s="4">
        <v>208</v>
      </c>
      <c r="F191" s="4">
        <f>Source!V168</f>
        <v>0</v>
      </c>
      <c r="G191" s="4" t="s">
        <v>243</v>
      </c>
      <c r="H191" s="4" t="s">
        <v>244</v>
      </c>
      <c r="I191" s="4"/>
      <c r="J191" s="4"/>
      <c r="K191" s="4">
        <v>208</v>
      </c>
      <c r="L191" s="4">
        <v>22</v>
      </c>
      <c r="M191" s="4">
        <v>3</v>
      </c>
      <c r="N191" s="4" t="s">
        <v>3</v>
      </c>
      <c r="O191" s="4">
        <v>-1</v>
      </c>
      <c r="P191" s="4"/>
      <c r="Q191" s="4"/>
      <c r="R191" s="4"/>
      <c r="S191" s="4"/>
      <c r="T191" s="4"/>
      <c r="U191" s="4"/>
      <c r="V191" s="4"/>
      <c r="W191" s="4"/>
    </row>
    <row r="192" spans="1:23" x14ac:dyDescent="0.2">
      <c r="A192" s="4">
        <v>50</v>
      </c>
      <c r="B192" s="4">
        <v>0</v>
      </c>
      <c r="C192" s="4">
        <v>0</v>
      </c>
      <c r="D192" s="4">
        <v>1</v>
      </c>
      <c r="E192" s="4">
        <v>209</v>
      </c>
      <c r="F192" s="4">
        <f>ROUND(Source!W168,O192)</f>
        <v>0</v>
      </c>
      <c r="G192" s="4" t="s">
        <v>245</v>
      </c>
      <c r="H192" s="4" t="s">
        <v>246</v>
      </c>
      <c r="I192" s="4"/>
      <c r="J192" s="4"/>
      <c r="K192" s="4">
        <v>209</v>
      </c>
      <c r="L192" s="4">
        <v>23</v>
      </c>
      <c r="M192" s="4">
        <v>3</v>
      </c>
      <c r="N192" s="4" t="s">
        <v>3</v>
      </c>
      <c r="O192" s="4">
        <v>2</v>
      </c>
      <c r="P192" s="4"/>
      <c r="Q192" s="4"/>
      <c r="R192" s="4"/>
      <c r="S192" s="4"/>
      <c r="T192" s="4"/>
      <c r="U192" s="4"/>
      <c r="V192" s="4"/>
      <c r="W192" s="4"/>
    </row>
    <row r="193" spans="1:206" x14ac:dyDescent="0.2">
      <c r="A193" s="4">
        <v>50</v>
      </c>
      <c r="B193" s="4">
        <v>0</v>
      </c>
      <c r="C193" s="4">
        <v>0</v>
      </c>
      <c r="D193" s="4">
        <v>1</v>
      </c>
      <c r="E193" s="4">
        <v>210</v>
      </c>
      <c r="F193" s="4">
        <f>ROUND(Source!X168,O193)</f>
        <v>471.44</v>
      </c>
      <c r="G193" s="4" t="s">
        <v>247</v>
      </c>
      <c r="H193" s="4" t="s">
        <v>248</v>
      </c>
      <c r="I193" s="4"/>
      <c r="J193" s="4"/>
      <c r="K193" s="4">
        <v>210</v>
      </c>
      <c r="L193" s="4">
        <v>24</v>
      </c>
      <c r="M193" s="4">
        <v>3</v>
      </c>
      <c r="N193" s="4" t="s">
        <v>3</v>
      </c>
      <c r="O193" s="4">
        <v>2</v>
      </c>
      <c r="P193" s="4"/>
      <c r="Q193" s="4"/>
      <c r="R193" s="4"/>
      <c r="S193" s="4"/>
      <c r="T193" s="4"/>
      <c r="U193" s="4"/>
      <c r="V193" s="4"/>
      <c r="W193" s="4"/>
    </row>
    <row r="194" spans="1:206" x14ac:dyDescent="0.2">
      <c r="A194" s="4">
        <v>50</v>
      </c>
      <c r="B194" s="4">
        <v>0</v>
      </c>
      <c r="C194" s="4">
        <v>0</v>
      </c>
      <c r="D194" s="4">
        <v>1</v>
      </c>
      <c r="E194" s="4">
        <v>211</v>
      </c>
      <c r="F194" s="4">
        <f>ROUND(Source!Y168,O194)</f>
        <v>302.20999999999998</v>
      </c>
      <c r="G194" s="4" t="s">
        <v>249</v>
      </c>
      <c r="H194" s="4" t="s">
        <v>250</v>
      </c>
      <c r="I194" s="4"/>
      <c r="J194" s="4"/>
      <c r="K194" s="4">
        <v>211</v>
      </c>
      <c r="L194" s="4">
        <v>25</v>
      </c>
      <c r="M194" s="4">
        <v>3</v>
      </c>
      <c r="N194" s="4" t="s">
        <v>3</v>
      </c>
      <c r="O194" s="4">
        <v>2</v>
      </c>
      <c r="P194" s="4"/>
      <c r="Q194" s="4"/>
      <c r="R194" s="4"/>
      <c r="S194" s="4"/>
      <c r="T194" s="4"/>
      <c r="U194" s="4"/>
      <c r="V194" s="4"/>
      <c r="W194" s="4"/>
    </row>
    <row r="195" spans="1:206" x14ac:dyDescent="0.2">
      <c r="A195" s="4">
        <v>50</v>
      </c>
      <c r="B195" s="4">
        <v>0</v>
      </c>
      <c r="C195" s="4">
        <v>0</v>
      </c>
      <c r="D195" s="4">
        <v>1</v>
      </c>
      <c r="E195" s="4">
        <v>224</v>
      </c>
      <c r="F195" s="4">
        <f>ROUND(Source!AR168,O195)</f>
        <v>8600.0499999999993</v>
      </c>
      <c r="G195" s="4" t="s">
        <v>251</v>
      </c>
      <c r="H195" s="4" t="s">
        <v>252</v>
      </c>
      <c r="I195" s="4"/>
      <c r="J195" s="4"/>
      <c r="K195" s="4">
        <v>224</v>
      </c>
      <c r="L195" s="4">
        <v>26</v>
      </c>
      <c r="M195" s="4">
        <v>3</v>
      </c>
      <c r="N195" s="4" t="s">
        <v>3</v>
      </c>
      <c r="O195" s="4">
        <v>2</v>
      </c>
      <c r="P195" s="4"/>
      <c r="Q195" s="4"/>
      <c r="R195" s="4"/>
      <c r="S195" s="4"/>
      <c r="T195" s="4"/>
      <c r="U195" s="4"/>
      <c r="V195" s="4"/>
      <c r="W195" s="4"/>
    </row>
    <row r="197" spans="1:206" x14ac:dyDescent="0.2">
      <c r="A197" s="2">
        <v>51</v>
      </c>
      <c r="B197" s="2">
        <f>B20</f>
        <v>1</v>
      </c>
      <c r="C197" s="2">
        <f>A20</f>
        <v>3</v>
      </c>
      <c r="D197" s="2">
        <f>ROW(A20)</f>
        <v>20</v>
      </c>
      <c r="E197" s="2"/>
      <c r="F197" s="2" t="str">
        <f>IF(F20&lt;&gt;"",F20,"")</f>
        <v>Новая локальная смета</v>
      </c>
      <c r="G197" s="2" t="str">
        <f>IF(G20&lt;&gt;"",G20,"")</f>
        <v>Новая локальная смета</v>
      </c>
      <c r="H197" s="2">
        <v>0</v>
      </c>
      <c r="I197" s="2"/>
      <c r="J197" s="2"/>
      <c r="K197" s="2"/>
      <c r="L197" s="2"/>
      <c r="M197" s="2"/>
      <c r="N197" s="2"/>
      <c r="O197" s="2">
        <f t="shared" ref="O197:T197" si="128">ROUND(O72+O131+O168+AB197,2)</f>
        <v>476547.07</v>
      </c>
      <c r="P197" s="2">
        <f t="shared" si="128"/>
        <v>434412.13</v>
      </c>
      <c r="Q197" s="2">
        <f t="shared" si="128"/>
        <v>4640.08</v>
      </c>
      <c r="R197" s="2">
        <f t="shared" si="128"/>
        <v>1022.76</v>
      </c>
      <c r="S197" s="2">
        <f t="shared" si="128"/>
        <v>37494.86</v>
      </c>
      <c r="T197" s="2">
        <f t="shared" si="128"/>
        <v>0</v>
      </c>
      <c r="U197" s="2">
        <f>U72+U131+U168+AH197</f>
        <v>639.0943876</v>
      </c>
      <c r="V197" s="2">
        <f>V72+V131+V168+AI197</f>
        <v>13.089974999999995</v>
      </c>
      <c r="W197" s="2">
        <f>ROUND(W72+W131+W168+AJ197,2)</f>
        <v>0</v>
      </c>
      <c r="X197" s="2">
        <f>ROUND(X72+X131+X168+AK197,2)</f>
        <v>36498.910000000003</v>
      </c>
      <c r="Y197" s="2">
        <f>ROUND(Y72+Y131+Y168+AL197,2)</f>
        <v>20615.560000000001</v>
      </c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>
        <f t="shared" ref="AO197:BC197" si="129">ROUND(AO72+AO131+AO168+BX197,2)</f>
        <v>0</v>
      </c>
      <c r="AP197" s="2">
        <f t="shared" si="129"/>
        <v>0</v>
      </c>
      <c r="AQ197" s="2">
        <f t="shared" si="129"/>
        <v>0</v>
      </c>
      <c r="AR197" s="2">
        <f t="shared" si="129"/>
        <v>539545.81999999995</v>
      </c>
      <c r="AS197" s="2">
        <f t="shared" si="129"/>
        <v>404385</v>
      </c>
      <c r="AT197" s="2">
        <f t="shared" si="129"/>
        <v>135160.82</v>
      </c>
      <c r="AU197" s="2">
        <f t="shared" si="129"/>
        <v>0</v>
      </c>
      <c r="AV197" s="2">
        <f t="shared" si="129"/>
        <v>434412.13</v>
      </c>
      <c r="AW197" s="2">
        <f t="shared" si="129"/>
        <v>434412.13</v>
      </c>
      <c r="AX197" s="2">
        <f t="shared" si="129"/>
        <v>0</v>
      </c>
      <c r="AY197" s="2">
        <f t="shared" si="129"/>
        <v>434412.13</v>
      </c>
      <c r="AZ197" s="2">
        <f t="shared" si="129"/>
        <v>0</v>
      </c>
      <c r="BA197" s="2">
        <f t="shared" si="129"/>
        <v>0</v>
      </c>
      <c r="BB197" s="2">
        <f t="shared" si="129"/>
        <v>0</v>
      </c>
      <c r="BC197" s="2">
        <f t="shared" si="129"/>
        <v>0</v>
      </c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>
        <v>0</v>
      </c>
    </row>
    <row r="199" spans="1:206" x14ac:dyDescent="0.2">
      <c r="A199" s="4">
        <v>50</v>
      </c>
      <c r="B199" s="4">
        <v>0</v>
      </c>
      <c r="C199" s="4">
        <v>0</v>
      </c>
      <c r="D199" s="4">
        <v>1</v>
      </c>
      <c r="E199" s="4">
        <v>201</v>
      </c>
      <c r="F199" s="4">
        <f>ROUND(Source!O197,O199)</f>
        <v>476547.07</v>
      </c>
      <c r="G199" s="4" t="s">
        <v>201</v>
      </c>
      <c r="H199" s="4" t="s">
        <v>202</v>
      </c>
      <c r="I199" s="4"/>
      <c r="J199" s="4"/>
      <c r="K199" s="4">
        <v>201</v>
      </c>
      <c r="L199" s="4">
        <v>1</v>
      </c>
      <c r="M199" s="4">
        <v>3</v>
      </c>
      <c r="N199" s="4" t="s">
        <v>3</v>
      </c>
      <c r="O199" s="4">
        <v>2</v>
      </c>
      <c r="P199" s="4"/>
      <c r="Q199" s="4"/>
      <c r="R199" s="4"/>
      <c r="S199" s="4"/>
      <c r="T199" s="4"/>
      <c r="U199" s="4"/>
      <c r="V199" s="4"/>
      <c r="W199" s="4"/>
    </row>
    <row r="200" spans="1:206" x14ac:dyDescent="0.2">
      <c r="A200" s="4">
        <v>50</v>
      </c>
      <c r="B200" s="4">
        <v>0</v>
      </c>
      <c r="C200" s="4">
        <v>0</v>
      </c>
      <c r="D200" s="4">
        <v>1</v>
      </c>
      <c r="E200" s="4">
        <v>202</v>
      </c>
      <c r="F200" s="4">
        <f>ROUND(Source!P197,O200)</f>
        <v>434412.13</v>
      </c>
      <c r="G200" s="4" t="s">
        <v>203</v>
      </c>
      <c r="H200" s="4" t="s">
        <v>204</v>
      </c>
      <c r="I200" s="4"/>
      <c r="J200" s="4"/>
      <c r="K200" s="4">
        <v>202</v>
      </c>
      <c r="L200" s="4">
        <v>2</v>
      </c>
      <c r="M200" s="4">
        <v>3</v>
      </c>
      <c r="N200" s="4" t="s">
        <v>3</v>
      </c>
      <c r="O200" s="4">
        <v>2</v>
      </c>
      <c r="P200" s="4"/>
      <c r="Q200" s="4"/>
      <c r="R200" s="4"/>
      <c r="S200" s="4"/>
      <c r="T200" s="4"/>
      <c r="U200" s="4"/>
      <c r="V200" s="4"/>
      <c r="W200" s="4"/>
    </row>
    <row r="201" spans="1:206" x14ac:dyDescent="0.2">
      <c r="A201" s="4">
        <v>50</v>
      </c>
      <c r="B201" s="4">
        <v>0</v>
      </c>
      <c r="C201" s="4">
        <v>0</v>
      </c>
      <c r="D201" s="4">
        <v>1</v>
      </c>
      <c r="E201" s="4">
        <v>222</v>
      </c>
      <c r="F201" s="4">
        <f>ROUND(Source!AO197,O201)</f>
        <v>0</v>
      </c>
      <c r="G201" s="4" t="s">
        <v>205</v>
      </c>
      <c r="H201" s="4" t="s">
        <v>206</v>
      </c>
      <c r="I201" s="4"/>
      <c r="J201" s="4"/>
      <c r="K201" s="4">
        <v>222</v>
      </c>
      <c r="L201" s="4">
        <v>3</v>
      </c>
      <c r="M201" s="4">
        <v>3</v>
      </c>
      <c r="N201" s="4" t="s">
        <v>3</v>
      </c>
      <c r="O201" s="4">
        <v>2</v>
      </c>
      <c r="P201" s="4"/>
      <c r="Q201" s="4"/>
      <c r="R201" s="4"/>
      <c r="S201" s="4"/>
      <c r="T201" s="4"/>
      <c r="U201" s="4"/>
      <c r="V201" s="4"/>
      <c r="W201" s="4"/>
    </row>
    <row r="202" spans="1:206" x14ac:dyDescent="0.2">
      <c r="A202" s="4">
        <v>50</v>
      </c>
      <c r="B202" s="4">
        <v>0</v>
      </c>
      <c r="C202" s="4">
        <v>0</v>
      </c>
      <c r="D202" s="4">
        <v>1</v>
      </c>
      <c r="E202" s="4">
        <v>225</v>
      </c>
      <c r="F202" s="4">
        <f>ROUND(Source!AV197,O202)</f>
        <v>434412.13</v>
      </c>
      <c r="G202" s="4" t="s">
        <v>207</v>
      </c>
      <c r="H202" s="4" t="s">
        <v>208</v>
      </c>
      <c r="I202" s="4"/>
      <c r="J202" s="4"/>
      <c r="K202" s="4">
        <v>225</v>
      </c>
      <c r="L202" s="4">
        <v>4</v>
      </c>
      <c r="M202" s="4">
        <v>3</v>
      </c>
      <c r="N202" s="4" t="s">
        <v>3</v>
      </c>
      <c r="O202" s="4">
        <v>2</v>
      </c>
      <c r="P202" s="4"/>
      <c r="Q202" s="4"/>
      <c r="R202" s="4"/>
      <c r="S202" s="4"/>
      <c r="T202" s="4"/>
      <c r="U202" s="4"/>
      <c r="V202" s="4"/>
      <c r="W202" s="4"/>
    </row>
    <row r="203" spans="1:206" x14ac:dyDescent="0.2">
      <c r="A203" s="4">
        <v>50</v>
      </c>
      <c r="B203" s="4">
        <v>0</v>
      </c>
      <c r="C203" s="4">
        <v>0</v>
      </c>
      <c r="D203" s="4">
        <v>1</v>
      </c>
      <c r="E203" s="4">
        <v>226</v>
      </c>
      <c r="F203" s="4">
        <f>ROUND(Source!AW197,O203)</f>
        <v>434412.13</v>
      </c>
      <c r="G203" s="4" t="s">
        <v>209</v>
      </c>
      <c r="H203" s="4" t="s">
        <v>210</v>
      </c>
      <c r="I203" s="4"/>
      <c r="J203" s="4"/>
      <c r="K203" s="4">
        <v>226</v>
      </c>
      <c r="L203" s="4">
        <v>5</v>
      </c>
      <c r="M203" s="4">
        <v>3</v>
      </c>
      <c r="N203" s="4" t="s">
        <v>3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06" x14ac:dyDescent="0.2">
      <c r="A204" s="4">
        <v>50</v>
      </c>
      <c r="B204" s="4">
        <v>0</v>
      </c>
      <c r="C204" s="4">
        <v>0</v>
      </c>
      <c r="D204" s="4">
        <v>1</v>
      </c>
      <c r="E204" s="4">
        <v>227</v>
      </c>
      <c r="F204" s="4">
        <f>ROUND(Source!AX197,O204)</f>
        <v>0</v>
      </c>
      <c r="G204" s="4" t="s">
        <v>211</v>
      </c>
      <c r="H204" s="4" t="s">
        <v>212</v>
      </c>
      <c r="I204" s="4"/>
      <c r="J204" s="4"/>
      <c r="K204" s="4">
        <v>227</v>
      </c>
      <c r="L204" s="4">
        <v>6</v>
      </c>
      <c r="M204" s="4">
        <v>3</v>
      </c>
      <c r="N204" s="4" t="s">
        <v>3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06" x14ac:dyDescent="0.2">
      <c r="A205" s="4">
        <v>50</v>
      </c>
      <c r="B205" s="4">
        <v>0</v>
      </c>
      <c r="C205" s="4">
        <v>0</v>
      </c>
      <c r="D205" s="4">
        <v>1</v>
      </c>
      <c r="E205" s="4">
        <v>228</v>
      </c>
      <c r="F205" s="4">
        <f>ROUND(Source!AY197,O205)</f>
        <v>434412.13</v>
      </c>
      <c r="G205" s="4" t="s">
        <v>213</v>
      </c>
      <c r="H205" s="4" t="s">
        <v>214</v>
      </c>
      <c r="I205" s="4"/>
      <c r="J205" s="4"/>
      <c r="K205" s="4">
        <v>228</v>
      </c>
      <c r="L205" s="4">
        <v>7</v>
      </c>
      <c r="M205" s="4">
        <v>3</v>
      </c>
      <c r="N205" s="4" t="s">
        <v>3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06" x14ac:dyDescent="0.2">
      <c r="A206" s="4">
        <v>50</v>
      </c>
      <c r="B206" s="4">
        <v>0</v>
      </c>
      <c r="C206" s="4">
        <v>0</v>
      </c>
      <c r="D206" s="4">
        <v>1</v>
      </c>
      <c r="E206" s="4">
        <v>216</v>
      </c>
      <c r="F206" s="4">
        <f>ROUND(Source!AP197,O206)</f>
        <v>0</v>
      </c>
      <c r="G206" s="4" t="s">
        <v>215</v>
      </c>
      <c r="H206" s="4" t="s">
        <v>216</v>
      </c>
      <c r="I206" s="4"/>
      <c r="J206" s="4"/>
      <c r="K206" s="4">
        <v>216</v>
      </c>
      <c r="L206" s="4">
        <v>8</v>
      </c>
      <c r="M206" s="4">
        <v>3</v>
      </c>
      <c r="N206" s="4" t="s">
        <v>3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06" x14ac:dyDescent="0.2">
      <c r="A207" s="4">
        <v>50</v>
      </c>
      <c r="B207" s="4">
        <v>0</v>
      </c>
      <c r="C207" s="4">
        <v>0</v>
      </c>
      <c r="D207" s="4">
        <v>1</v>
      </c>
      <c r="E207" s="4">
        <v>223</v>
      </c>
      <c r="F207" s="4">
        <f>ROUND(Source!AQ197,O207)</f>
        <v>0</v>
      </c>
      <c r="G207" s="4" t="s">
        <v>217</v>
      </c>
      <c r="H207" s="4" t="s">
        <v>218</v>
      </c>
      <c r="I207" s="4"/>
      <c r="J207" s="4"/>
      <c r="K207" s="4">
        <v>223</v>
      </c>
      <c r="L207" s="4">
        <v>9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06" x14ac:dyDescent="0.2">
      <c r="A208" s="4">
        <v>50</v>
      </c>
      <c r="B208" s="4">
        <v>0</v>
      </c>
      <c r="C208" s="4">
        <v>0</v>
      </c>
      <c r="D208" s="4">
        <v>1</v>
      </c>
      <c r="E208" s="4">
        <v>229</v>
      </c>
      <c r="F208" s="4">
        <f>ROUND(Source!AZ197,O208)</f>
        <v>0</v>
      </c>
      <c r="G208" s="4" t="s">
        <v>219</v>
      </c>
      <c r="H208" s="4" t="s">
        <v>220</v>
      </c>
      <c r="I208" s="4"/>
      <c r="J208" s="4"/>
      <c r="K208" s="4">
        <v>229</v>
      </c>
      <c r="L208" s="4">
        <v>10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3" x14ac:dyDescent="0.2">
      <c r="A209" s="4">
        <v>50</v>
      </c>
      <c r="B209" s="4">
        <v>0</v>
      </c>
      <c r="C209" s="4">
        <v>0</v>
      </c>
      <c r="D209" s="4">
        <v>1</v>
      </c>
      <c r="E209" s="4">
        <v>203</v>
      </c>
      <c r="F209" s="4">
        <f>ROUND(Source!Q197,O209)</f>
        <v>4640.08</v>
      </c>
      <c r="G209" s="4" t="s">
        <v>221</v>
      </c>
      <c r="H209" s="4" t="s">
        <v>222</v>
      </c>
      <c r="I209" s="4"/>
      <c r="J209" s="4"/>
      <c r="K209" s="4">
        <v>203</v>
      </c>
      <c r="L209" s="4">
        <v>11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3" x14ac:dyDescent="0.2">
      <c r="A210" s="4">
        <v>50</v>
      </c>
      <c r="B210" s="4">
        <v>0</v>
      </c>
      <c r="C210" s="4">
        <v>0</v>
      </c>
      <c r="D210" s="4">
        <v>1</v>
      </c>
      <c r="E210" s="4">
        <v>231</v>
      </c>
      <c r="F210" s="4">
        <f>ROUND(Source!BB197,O210)</f>
        <v>0</v>
      </c>
      <c r="G210" s="4" t="s">
        <v>223</v>
      </c>
      <c r="H210" s="4" t="s">
        <v>224</v>
      </c>
      <c r="I210" s="4"/>
      <c r="J210" s="4"/>
      <c r="K210" s="4">
        <v>231</v>
      </c>
      <c r="L210" s="4">
        <v>12</v>
      </c>
      <c r="M210" s="4">
        <v>3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/>
    </row>
    <row r="211" spans="1:23" x14ac:dyDescent="0.2">
      <c r="A211" s="4">
        <v>50</v>
      </c>
      <c r="B211" s="4">
        <v>0</v>
      </c>
      <c r="C211" s="4">
        <v>0</v>
      </c>
      <c r="D211" s="4">
        <v>1</v>
      </c>
      <c r="E211" s="4">
        <v>204</v>
      </c>
      <c r="F211" s="4">
        <f>ROUND(Source!R197,O211)</f>
        <v>1022.76</v>
      </c>
      <c r="G211" s="4" t="s">
        <v>225</v>
      </c>
      <c r="H211" s="4" t="s">
        <v>226</v>
      </c>
      <c r="I211" s="4"/>
      <c r="J211" s="4"/>
      <c r="K211" s="4">
        <v>204</v>
      </c>
      <c r="L211" s="4">
        <v>13</v>
      </c>
      <c r="M211" s="4">
        <v>3</v>
      </c>
      <c r="N211" s="4" t="s">
        <v>3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3" x14ac:dyDescent="0.2">
      <c r="A212" s="4">
        <v>50</v>
      </c>
      <c r="B212" s="4">
        <v>0</v>
      </c>
      <c r="C212" s="4">
        <v>0</v>
      </c>
      <c r="D212" s="4">
        <v>1</v>
      </c>
      <c r="E212" s="4">
        <v>205</v>
      </c>
      <c r="F212" s="4">
        <f>ROUND(Source!S197,O212)</f>
        <v>37494.86</v>
      </c>
      <c r="G212" s="4" t="s">
        <v>227</v>
      </c>
      <c r="H212" s="4" t="s">
        <v>228</v>
      </c>
      <c r="I212" s="4"/>
      <c r="J212" s="4"/>
      <c r="K212" s="4">
        <v>205</v>
      </c>
      <c r="L212" s="4">
        <v>14</v>
      </c>
      <c r="M212" s="4">
        <v>3</v>
      </c>
      <c r="N212" s="4" t="s">
        <v>3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3" x14ac:dyDescent="0.2">
      <c r="A213" s="4">
        <v>50</v>
      </c>
      <c r="B213" s="4">
        <v>0</v>
      </c>
      <c r="C213" s="4">
        <v>0</v>
      </c>
      <c r="D213" s="4">
        <v>1</v>
      </c>
      <c r="E213" s="4">
        <v>232</v>
      </c>
      <c r="F213" s="4">
        <f>ROUND(Source!BC197,O213)</f>
        <v>0</v>
      </c>
      <c r="G213" s="4" t="s">
        <v>229</v>
      </c>
      <c r="H213" s="4" t="s">
        <v>230</v>
      </c>
      <c r="I213" s="4"/>
      <c r="J213" s="4"/>
      <c r="K213" s="4">
        <v>232</v>
      </c>
      <c r="L213" s="4">
        <v>15</v>
      </c>
      <c r="M213" s="4">
        <v>3</v>
      </c>
      <c r="N213" s="4" t="s">
        <v>3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3" x14ac:dyDescent="0.2">
      <c r="A214" s="4">
        <v>50</v>
      </c>
      <c r="B214" s="4">
        <v>0</v>
      </c>
      <c r="C214" s="4">
        <v>0</v>
      </c>
      <c r="D214" s="4">
        <v>1</v>
      </c>
      <c r="E214" s="4">
        <v>214</v>
      </c>
      <c r="F214" s="4">
        <f>ROUND(Source!AS197,O214)</f>
        <v>404385</v>
      </c>
      <c r="G214" s="4" t="s">
        <v>231</v>
      </c>
      <c r="H214" s="4" t="s">
        <v>232</v>
      </c>
      <c r="I214" s="4"/>
      <c r="J214" s="4"/>
      <c r="K214" s="4">
        <v>214</v>
      </c>
      <c r="L214" s="4">
        <v>16</v>
      </c>
      <c r="M214" s="4">
        <v>3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3" x14ac:dyDescent="0.2">
      <c r="A215" s="4">
        <v>50</v>
      </c>
      <c r="B215" s="4">
        <v>0</v>
      </c>
      <c r="C215" s="4">
        <v>0</v>
      </c>
      <c r="D215" s="4">
        <v>1</v>
      </c>
      <c r="E215" s="4">
        <v>215</v>
      </c>
      <c r="F215" s="4">
        <f>ROUND(Source!AT197,O215)</f>
        <v>135160.82</v>
      </c>
      <c r="G215" s="4" t="s">
        <v>233</v>
      </c>
      <c r="H215" s="4" t="s">
        <v>234</v>
      </c>
      <c r="I215" s="4"/>
      <c r="J215" s="4"/>
      <c r="K215" s="4">
        <v>215</v>
      </c>
      <c r="L215" s="4">
        <v>17</v>
      </c>
      <c r="M215" s="4">
        <v>3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3" x14ac:dyDescent="0.2">
      <c r="A216" s="4">
        <v>50</v>
      </c>
      <c r="B216" s="4">
        <v>0</v>
      </c>
      <c r="C216" s="4">
        <v>0</v>
      </c>
      <c r="D216" s="4">
        <v>1</v>
      </c>
      <c r="E216" s="4">
        <v>217</v>
      </c>
      <c r="F216" s="4">
        <f>ROUND(Source!AU197,O216)</f>
        <v>0</v>
      </c>
      <c r="G216" s="4" t="s">
        <v>235</v>
      </c>
      <c r="H216" s="4" t="s">
        <v>236</v>
      </c>
      <c r="I216" s="4"/>
      <c r="J216" s="4"/>
      <c r="K216" s="4">
        <v>217</v>
      </c>
      <c r="L216" s="4">
        <v>18</v>
      </c>
      <c r="M216" s="4">
        <v>3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7" spans="1:23" x14ac:dyDescent="0.2">
      <c r="A217" s="4">
        <v>50</v>
      </c>
      <c r="B217" s="4">
        <v>0</v>
      </c>
      <c r="C217" s="4">
        <v>0</v>
      </c>
      <c r="D217" s="4">
        <v>1</v>
      </c>
      <c r="E217" s="4">
        <v>230</v>
      </c>
      <c r="F217" s="4">
        <f>ROUND(Source!BA197,O217)</f>
        <v>0</v>
      </c>
      <c r="G217" s="4" t="s">
        <v>237</v>
      </c>
      <c r="H217" s="4" t="s">
        <v>238</v>
      </c>
      <c r="I217" s="4"/>
      <c r="J217" s="4"/>
      <c r="K217" s="4">
        <v>230</v>
      </c>
      <c r="L217" s="4">
        <v>19</v>
      </c>
      <c r="M217" s="4">
        <v>3</v>
      </c>
      <c r="N217" s="4" t="s">
        <v>3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3" x14ac:dyDescent="0.2">
      <c r="A218" s="4">
        <v>50</v>
      </c>
      <c r="B218" s="4">
        <v>0</v>
      </c>
      <c r="C218" s="4">
        <v>0</v>
      </c>
      <c r="D218" s="4">
        <v>1</v>
      </c>
      <c r="E218" s="4">
        <v>206</v>
      </c>
      <c r="F218" s="4">
        <f>ROUND(Source!T197,O218)</f>
        <v>0</v>
      </c>
      <c r="G218" s="4" t="s">
        <v>239</v>
      </c>
      <c r="H218" s="4" t="s">
        <v>240</v>
      </c>
      <c r="I218" s="4"/>
      <c r="J218" s="4"/>
      <c r="K218" s="4">
        <v>206</v>
      </c>
      <c r="L218" s="4">
        <v>20</v>
      </c>
      <c r="M218" s="4">
        <v>3</v>
      </c>
      <c r="N218" s="4" t="s">
        <v>3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3" x14ac:dyDescent="0.2">
      <c r="A219" s="4">
        <v>50</v>
      </c>
      <c r="B219" s="4">
        <v>0</v>
      </c>
      <c r="C219" s="4">
        <v>0</v>
      </c>
      <c r="D219" s="4">
        <v>1</v>
      </c>
      <c r="E219" s="4">
        <v>207</v>
      </c>
      <c r="F219" s="4">
        <f>Source!U197</f>
        <v>639.0943876</v>
      </c>
      <c r="G219" s="4" t="s">
        <v>241</v>
      </c>
      <c r="H219" s="4" t="s">
        <v>242</v>
      </c>
      <c r="I219" s="4"/>
      <c r="J219" s="4"/>
      <c r="K219" s="4">
        <v>207</v>
      </c>
      <c r="L219" s="4">
        <v>21</v>
      </c>
      <c r="M219" s="4">
        <v>3</v>
      </c>
      <c r="N219" s="4" t="s">
        <v>3</v>
      </c>
      <c r="O219" s="4">
        <v>-1</v>
      </c>
      <c r="P219" s="4"/>
      <c r="Q219" s="4"/>
      <c r="R219" s="4"/>
      <c r="S219" s="4"/>
      <c r="T219" s="4"/>
      <c r="U219" s="4"/>
      <c r="V219" s="4"/>
      <c r="W219" s="4"/>
    </row>
    <row r="220" spans="1:23" x14ac:dyDescent="0.2">
      <c r="A220" s="4">
        <v>50</v>
      </c>
      <c r="B220" s="4">
        <v>0</v>
      </c>
      <c r="C220" s="4">
        <v>0</v>
      </c>
      <c r="D220" s="4">
        <v>1</v>
      </c>
      <c r="E220" s="4">
        <v>208</v>
      </c>
      <c r="F220" s="4">
        <f>Source!V197</f>
        <v>13.089974999999995</v>
      </c>
      <c r="G220" s="4" t="s">
        <v>243</v>
      </c>
      <c r="H220" s="4" t="s">
        <v>244</v>
      </c>
      <c r="I220" s="4"/>
      <c r="J220" s="4"/>
      <c r="K220" s="4">
        <v>208</v>
      </c>
      <c r="L220" s="4">
        <v>22</v>
      </c>
      <c r="M220" s="4">
        <v>3</v>
      </c>
      <c r="N220" s="4" t="s">
        <v>3</v>
      </c>
      <c r="O220" s="4">
        <v>-1</v>
      </c>
      <c r="P220" s="4"/>
      <c r="Q220" s="4"/>
      <c r="R220" s="4"/>
      <c r="S220" s="4"/>
      <c r="T220" s="4"/>
      <c r="U220" s="4"/>
      <c r="V220" s="4"/>
      <c r="W220" s="4"/>
    </row>
    <row r="221" spans="1:23" x14ac:dyDescent="0.2">
      <c r="A221" s="4">
        <v>50</v>
      </c>
      <c r="B221" s="4">
        <v>0</v>
      </c>
      <c r="C221" s="4">
        <v>0</v>
      </c>
      <c r="D221" s="4">
        <v>1</v>
      </c>
      <c r="E221" s="4">
        <v>209</v>
      </c>
      <c r="F221" s="4">
        <f>ROUND(Source!W197,O221)</f>
        <v>0</v>
      </c>
      <c r="G221" s="4" t="s">
        <v>245</v>
      </c>
      <c r="H221" s="4" t="s">
        <v>246</v>
      </c>
      <c r="I221" s="4"/>
      <c r="J221" s="4"/>
      <c r="K221" s="4">
        <v>209</v>
      </c>
      <c r="L221" s="4">
        <v>23</v>
      </c>
      <c r="M221" s="4">
        <v>3</v>
      </c>
      <c r="N221" s="4" t="s">
        <v>3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3" x14ac:dyDescent="0.2">
      <c r="A222" s="4">
        <v>50</v>
      </c>
      <c r="B222" s="4">
        <v>0</v>
      </c>
      <c r="C222" s="4">
        <v>0</v>
      </c>
      <c r="D222" s="4">
        <v>1</v>
      </c>
      <c r="E222" s="4">
        <v>210</v>
      </c>
      <c r="F222" s="4">
        <f>ROUND(Source!X197,O222)</f>
        <v>36498.910000000003</v>
      </c>
      <c r="G222" s="4" t="s">
        <v>247</v>
      </c>
      <c r="H222" s="4" t="s">
        <v>248</v>
      </c>
      <c r="I222" s="4"/>
      <c r="J222" s="4"/>
      <c r="K222" s="4">
        <v>210</v>
      </c>
      <c r="L222" s="4">
        <v>24</v>
      </c>
      <c r="M222" s="4">
        <v>3</v>
      </c>
      <c r="N222" s="4" t="s">
        <v>3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3" x14ac:dyDescent="0.2">
      <c r="A223" s="4">
        <v>50</v>
      </c>
      <c r="B223" s="4">
        <v>0</v>
      </c>
      <c r="C223" s="4">
        <v>0</v>
      </c>
      <c r="D223" s="4">
        <v>1</v>
      </c>
      <c r="E223" s="4">
        <v>211</v>
      </c>
      <c r="F223" s="4">
        <f>ROUND(Source!Y197,O223)</f>
        <v>20615.560000000001</v>
      </c>
      <c r="G223" s="4" t="s">
        <v>249</v>
      </c>
      <c r="H223" s="4" t="s">
        <v>250</v>
      </c>
      <c r="I223" s="4"/>
      <c r="J223" s="4"/>
      <c r="K223" s="4">
        <v>211</v>
      </c>
      <c r="L223" s="4">
        <v>25</v>
      </c>
      <c r="M223" s="4">
        <v>3</v>
      </c>
      <c r="N223" s="4" t="s">
        <v>3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3" x14ac:dyDescent="0.2">
      <c r="A224" s="4">
        <v>50</v>
      </c>
      <c r="B224" s="4">
        <v>0</v>
      </c>
      <c r="C224" s="4">
        <v>0</v>
      </c>
      <c r="D224" s="4">
        <v>1</v>
      </c>
      <c r="E224" s="4">
        <v>224</v>
      </c>
      <c r="F224" s="4">
        <f>ROUND(Source!AR197,O224)</f>
        <v>539545.81999999995</v>
      </c>
      <c r="G224" s="4" t="s">
        <v>251</v>
      </c>
      <c r="H224" s="4" t="s">
        <v>252</v>
      </c>
      <c r="I224" s="4"/>
      <c r="J224" s="4"/>
      <c r="K224" s="4">
        <v>224</v>
      </c>
      <c r="L224" s="4">
        <v>26</v>
      </c>
      <c r="M224" s="4">
        <v>3</v>
      </c>
      <c r="N224" s="4" t="s">
        <v>3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06" x14ac:dyDescent="0.2">
      <c r="A225" s="4">
        <v>50</v>
      </c>
      <c r="B225" s="4">
        <v>1</v>
      </c>
      <c r="C225" s="4">
        <v>0</v>
      </c>
      <c r="D225" s="4">
        <v>2</v>
      </c>
      <c r="E225" s="4">
        <v>0</v>
      </c>
      <c r="F225" s="4">
        <f>ROUND(F224,O225)</f>
        <v>539545.81999999995</v>
      </c>
      <c r="G225" s="4" t="s">
        <v>388</v>
      </c>
      <c r="H225" s="4" t="s">
        <v>389</v>
      </c>
      <c r="I225" s="4"/>
      <c r="J225" s="4"/>
      <c r="K225" s="4">
        <v>212</v>
      </c>
      <c r="L225" s="4">
        <v>27</v>
      </c>
      <c r="M225" s="4">
        <v>0</v>
      </c>
      <c r="N225" s="4" t="s">
        <v>3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06" x14ac:dyDescent="0.2">
      <c r="A226" s="4">
        <v>50</v>
      </c>
      <c r="B226" s="4">
        <v>1</v>
      </c>
      <c r="C226" s="4">
        <v>0</v>
      </c>
      <c r="D226" s="4">
        <v>2</v>
      </c>
      <c r="E226" s="4">
        <v>0</v>
      </c>
      <c r="F226" s="4">
        <f>ROUND(F225*0.18,O226)</f>
        <v>97118.25</v>
      </c>
      <c r="G226" s="4" t="s">
        <v>390</v>
      </c>
      <c r="H226" s="4" t="s">
        <v>391</v>
      </c>
      <c r="I226" s="4"/>
      <c r="J226" s="4"/>
      <c r="K226" s="4">
        <v>212</v>
      </c>
      <c r="L226" s="4">
        <v>28</v>
      </c>
      <c r="M226" s="4">
        <v>0</v>
      </c>
      <c r="N226" s="4" t="s">
        <v>3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06" x14ac:dyDescent="0.2">
      <c r="A227" s="4">
        <v>50</v>
      </c>
      <c r="B227" s="4">
        <v>1</v>
      </c>
      <c r="C227" s="4">
        <v>0</v>
      </c>
      <c r="D227" s="4">
        <v>2</v>
      </c>
      <c r="E227" s="4">
        <v>213</v>
      </c>
      <c r="F227" s="4">
        <f>ROUND(F225+F226,O227)</f>
        <v>636664.06999999995</v>
      </c>
      <c r="G227" s="4" t="s">
        <v>392</v>
      </c>
      <c r="H227" s="4" t="s">
        <v>251</v>
      </c>
      <c r="I227" s="4"/>
      <c r="J227" s="4"/>
      <c r="K227" s="4">
        <v>212</v>
      </c>
      <c r="L227" s="4">
        <v>29</v>
      </c>
      <c r="M227" s="4">
        <v>0</v>
      </c>
      <c r="N227" s="4" t="s">
        <v>3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9" spans="1:206" x14ac:dyDescent="0.2">
      <c r="A229" s="2">
        <v>51</v>
      </c>
      <c r="B229" s="2">
        <f>B12</f>
        <v>287</v>
      </c>
      <c r="C229" s="2">
        <f>A12</f>
        <v>1</v>
      </c>
      <c r="D229" s="2">
        <f>ROW(A12)</f>
        <v>12</v>
      </c>
      <c r="E229" s="2"/>
      <c r="F229" s="2" t="str">
        <f>IF(F12&lt;&gt;"",F12,"")</f>
        <v>Новый объект</v>
      </c>
      <c r="G229" s="2" t="str">
        <f>IF(G12&lt;&gt;"",G12,"")</f>
        <v>Ремонт учебных аудиторий №15,№23,№27, 1-го этажа учебного здания Нововоронежского плитехнического -филиала НИЯУ МИФИ (НВПК НИЯУ МИФИ) по адресу: Воронежская область,г.Нововоронеж,ул.Октябрьская,д.1</v>
      </c>
      <c r="H229" s="2">
        <v>0</v>
      </c>
      <c r="I229" s="2"/>
      <c r="J229" s="2"/>
      <c r="K229" s="2"/>
      <c r="L229" s="2"/>
      <c r="M229" s="2"/>
      <c r="N229" s="2"/>
      <c r="O229" s="2">
        <f t="shared" ref="O229:T229" si="130">ROUND(O197,2)</f>
        <v>476547.07</v>
      </c>
      <c r="P229" s="2">
        <f t="shared" si="130"/>
        <v>434412.13</v>
      </c>
      <c r="Q229" s="2">
        <f t="shared" si="130"/>
        <v>4640.08</v>
      </c>
      <c r="R229" s="2">
        <f t="shared" si="130"/>
        <v>1022.76</v>
      </c>
      <c r="S229" s="2">
        <f t="shared" si="130"/>
        <v>37494.86</v>
      </c>
      <c r="T229" s="2">
        <f t="shared" si="130"/>
        <v>0</v>
      </c>
      <c r="U229" s="2">
        <f>U197</f>
        <v>639.0943876</v>
      </c>
      <c r="V229" s="2">
        <f>V197</f>
        <v>13.089974999999995</v>
      </c>
      <c r="W229" s="2">
        <f>ROUND(W197,2)</f>
        <v>0</v>
      </c>
      <c r="X229" s="2">
        <f>ROUND(X197,2)</f>
        <v>36498.910000000003</v>
      </c>
      <c r="Y229" s="2">
        <f>ROUND(Y197,2)</f>
        <v>20615.560000000001</v>
      </c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>
        <f t="shared" ref="AO229:BC229" si="131">ROUND(AO197,2)</f>
        <v>0</v>
      </c>
      <c r="AP229" s="2">
        <f t="shared" si="131"/>
        <v>0</v>
      </c>
      <c r="AQ229" s="2">
        <f t="shared" si="131"/>
        <v>0</v>
      </c>
      <c r="AR229" s="2">
        <f t="shared" si="131"/>
        <v>539545.81999999995</v>
      </c>
      <c r="AS229" s="2">
        <f t="shared" si="131"/>
        <v>404385</v>
      </c>
      <c r="AT229" s="2">
        <f t="shared" si="131"/>
        <v>135160.82</v>
      </c>
      <c r="AU229" s="2">
        <f t="shared" si="131"/>
        <v>0</v>
      </c>
      <c r="AV229" s="2">
        <f t="shared" si="131"/>
        <v>434412.13</v>
      </c>
      <c r="AW229" s="2">
        <f t="shared" si="131"/>
        <v>434412.13</v>
      </c>
      <c r="AX229" s="2">
        <f t="shared" si="131"/>
        <v>0</v>
      </c>
      <c r="AY229" s="2">
        <f t="shared" si="131"/>
        <v>434412.13</v>
      </c>
      <c r="AZ229" s="2">
        <f t="shared" si="131"/>
        <v>0</v>
      </c>
      <c r="BA229" s="2">
        <f t="shared" si="131"/>
        <v>0</v>
      </c>
      <c r="BB229" s="2">
        <f t="shared" si="131"/>
        <v>0</v>
      </c>
      <c r="BC229" s="2">
        <f t="shared" si="131"/>
        <v>0</v>
      </c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>
        <v>0</v>
      </c>
    </row>
    <row r="231" spans="1:206" x14ac:dyDescent="0.2">
      <c r="A231" s="4">
        <v>50</v>
      </c>
      <c r="B231" s="4">
        <v>0</v>
      </c>
      <c r="C231" s="4">
        <v>0</v>
      </c>
      <c r="D231" s="4">
        <v>1</v>
      </c>
      <c r="E231" s="4">
        <v>201</v>
      </c>
      <c r="F231" s="4">
        <f>ROUND(Source!O229,O231)</f>
        <v>476547.07</v>
      </c>
      <c r="G231" s="4" t="s">
        <v>201</v>
      </c>
      <c r="H231" s="4" t="s">
        <v>202</v>
      </c>
      <c r="I231" s="4"/>
      <c r="J231" s="4"/>
      <c r="K231" s="4">
        <v>201</v>
      </c>
      <c r="L231" s="4">
        <v>1</v>
      </c>
      <c r="M231" s="4">
        <v>3</v>
      </c>
      <c r="N231" s="4" t="s">
        <v>3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06" x14ac:dyDescent="0.2">
      <c r="A232" s="4">
        <v>50</v>
      </c>
      <c r="B232" s="4">
        <v>0</v>
      </c>
      <c r="C232" s="4">
        <v>0</v>
      </c>
      <c r="D232" s="4">
        <v>1</v>
      </c>
      <c r="E232" s="4">
        <v>202</v>
      </c>
      <c r="F232" s="4">
        <f>ROUND(Source!P229,O232)</f>
        <v>434412.13</v>
      </c>
      <c r="G232" s="4" t="s">
        <v>203</v>
      </c>
      <c r="H232" s="4" t="s">
        <v>204</v>
      </c>
      <c r="I232" s="4"/>
      <c r="J232" s="4"/>
      <c r="K232" s="4">
        <v>202</v>
      </c>
      <c r="L232" s="4">
        <v>2</v>
      </c>
      <c r="M232" s="4">
        <v>3</v>
      </c>
      <c r="N232" s="4" t="s">
        <v>3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06" x14ac:dyDescent="0.2">
      <c r="A233" s="4">
        <v>50</v>
      </c>
      <c r="B233" s="4">
        <v>0</v>
      </c>
      <c r="C233" s="4">
        <v>0</v>
      </c>
      <c r="D233" s="4">
        <v>1</v>
      </c>
      <c r="E233" s="4">
        <v>222</v>
      </c>
      <c r="F233" s="4">
        <f>ROUND(Source!AO229,O233)</f>
        <v>0</v>
      </c>
      <c r="G233" s="4" t="s">
        <v>205</v>
      </c>
      <c r="H233" s="4" t="s">
        <v>206</v>
      </c>
      <c r="I233" s="4"/>
      <c r="J233" s="4"/>
      <c r="K233" s="4">
        <v>222</v>
      </c>
      <c r="L233" s="4">
        <v>3</v>
      </c>
      <c r="M233" s="4">
        <v>3</v>
      </c>
      <c r="N233" s="4" t="s">
        <v>3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06" x14ac:dyDescent="0.2">
      <c r="A234" s="4">
        <v>50</v>
      </c>
      <c r="B234" s="4">
        <v>0</v>
      </c>
      <c r="C234" s="4">
        <v>0</v>
      </c>
      <c r="D234" s="4">
        <v>1</v>
      </c>
      <c r="E234" s="4">
        <v>225</v>
      </c>
      <c r="F234" s="4">
        <f>ROUND(Source!AV229,O234)</f>
        <v>434412.13</v>
      </c>
      <c r="G234" s="4" t="s">
        <v>207</v>
      </c>
      <c r="H234" s="4" t="s">
        <v>208</v>
      </c>
      <c r="I234" s="4"/>
      <c r="J234" s="4"/>
      <c r="K234" s="4">
        <v>225</v>
      </c>
      <c r="L234" s="4">
        <v>4</v>
      </c>
      <c r="M234" s="4">
        <v>3</v>
      </c>
      <c r="N234" s="4" t="s">
        <v>3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06" x14ac:dyDescent="0.2">
      <c r="A235" s="4">
        <v>50</v>
      </c>
      <c r="B235" s="4">
        <v>0</v>
      </c>
      <c r="C235" s="4">
        <v>0</v>
      </c>
      <c r="D235" s="4">
        <v>1</v>
      </c>
      <c r="E235" s="4">
        <v>226</v>
      </c>
      <c r="F235" s="4">
        <f>ROUND(Source!AW229,O235)</f>
        <v>434412.13</v>
      </c>
      <c r="G235" s="4" t="s">
        <v>209</v>
      </c>
      <c r="H235" s="4" t="s">
        <v>210</v>
      </c>
      <c r="I235" s="4"/>
      <c r="J235" s="4"/>
      <c r="K235" s="4">
        <v>226</v>
      </c>
      <c r="L235" s="4">
        <v>5</v>
      </c>
      <c r="M235" s="4">
        <v>3</v>
      </c>
      <c r="N235" s="4" t="s">
        <v>3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06" x14ac:dyDescent="0.2">
      <c r="A236" s="4">
        <v>50</v>
      </c>
      <c r="B236" s="4">
        <v>0</v>
      </c>
      <c r="C236" s="4">
        <v>0</v>
      </c>
      <c r="D236" s="4">
        <v>1</v>
      </c>
      <c r="E236" s="4">
        <v>227</v>
      </c>
      <c r="F236" s="4">
        <f>ROUND(Source!AX229,O236)</f>
        <v>0</v>
      </c>
      <c r="G236" s="4" t="s">
        <v>211</v>
      </c>
      <c r="H236" s="4" t="s">
        <v>212</v>
      </c>
      <c r="I236" s="4"/>
      <c r="J236" s="4"/>
      <c r="K236" s="4">
        <v>227</v>
      </c>
      <c r="L236" s="4">
        <v>6</v>
      </c>
      <c r="M236" s="4">
        <v>3</v>
      </c>
      <c r="N236" s="4" t="s">
        <v>3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06" x14ac:dyDescent="0.2">
      <c r="A237" s="4">
        <v>50</v>
      </c>
      <c r="B237" s="4">
        <v>0</v>
      </c>
      <c r="C237" s="4">
        <v>0</v>
      </c>
      <c r="D237" s="4">
        <v>1</v>
      </c>
      <c r="E237" s="4">
        <v>228</v>
      </c>
      <c r="F237" s="4">
        <f>ROUND(Source!AY229,O237)</f>
        <v>434412.13</v>
      </c>
      <c r="G237" s="4" t="s">
        <v>213</v>
      </c>
      <c r="H237" s="4" t="s">
        <v>214</v>
      </c>
      <c r="I237" s="4"/>
      <c r="J237" s="4"/>
      <c r="K237" s="4">
        <v>228</v>
      </c>
      <c r="L237" s="4">
        <v>7</v>
      </c>
      <c r="M237" s="4">
        <v>3</v>
      </c>
      <c r="N237" s="4" t="s">
        <v>3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06" x14ac:dyDescent="0.2">
      <c r="A238" s="4">
        <v>50</v>
      </c>
      <c r="B238" s="4">
        <v>0</v>
      </c>
      <c r="C238" s="4">
        <v>0</v>
      </c>
      <c r="D238" s="4">
        <v>1</v>
      </c>
      <c r="E238" s="4">
        <v>216</v>
      </c>
      <c r="F238" s="4">
        <f>ROUND(Source!AP229,O238)</f>
        <v>0</v>
      </c>
      <c r="G238" s="4" t="s">
        <v>215</v>
      </c>
      <c r="H238" s="4" t="s">
        <v>216</v>
      </c>
      <c r="I238" s="4"/>
      <c r="J238" s="4"/>
      <c r="K238" s="4">
        <v>216</v>
      </c>
      <c r="L238" s="4">
        <v>8</v>
      </c>
      <c r="M238" s="4">
        <v>3</v>
      </c>
      <c r="N238" s="4" t="s">
        <v>3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06" x14ac:dyDescent="0.2">
      <c r="A239" s="4">
        <v>50</v>
      </c>
      <c r="B239" s="4">
        <v>0</v>
      </c>
      <c r="C239" s="4">
        <v>0</v>
      </c>
      <c r="D239" s="4">
        <v>1</v>
      </c>
      <c r="E239" s="4">
        <v>223</v>
      </c>
      <c r="F239" s="4">
        <f>ROUND(Source!AQ229,O239)</f>
        <v>0</v>
      </c>
      <c r="G239" s="4" t="s">
        <v>217</v>
      </c>
      <c r="H239" s="4" t="s">
        <v>218</v>
      </c>
      <c r="I239" s="4"/>
      <c r="J239" s="4"/>
      <c r="K239" s="4">
        <v>223</v>
      </c>
      <c r="L239" s="4">
        <v>9</v>
      </c>
      <c r="M239" s="4">
        <v>3</v>
      </c>
      <c r="N239" s="4" t="s">
        <v>3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06" x14ac:dyDescent="0.2">
      <c r="A240" s="4">
        <v>50</v>
      </c>
      <c r="B240" s="4">
        <v>0</v>
      </c>
      <c r="C240" s="4">
        <v>0</v>
      </c>
      <c r="D240" s="4">
        <v>1</v>
      </c>
      <c r="E240" s="4">
        <v>229</v>
      </c>
      <c r="F240" s="4">
        <f>ROUND(Source!AZ229,O240)</f>
        <v>0</v>
      </c>
      <c r="G240" s="4" t="s">
        <v>219</v>
      </c>
      <c r="H240" s="4" t="s">
        <v>220</v>
      </c>
      <c r="I240" s="4"/>
      <c r="J240" s="4"/>
      <c r="K240" s="4">
        <v>229</v>
      </c>
      <c r="L240" s="4">
        <v>10</v>
      </c>
      <c r="M240" s="4">
        <v>3</v>
      </c>
      <c r="N240" s="4" t="s">
        <v>3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3" x14ac:dyDescent="0.2">
      <c r="A241" s="4">
        <v>50</v>
      </c>
      <c r="B241" s="4">
        <v>0</v>
      </c>
      <c r="C241" s="4">
        <v>0</v>
      </c>
      <c r="D241" s="4">
        <v>1</v>
      </c>
      <c r="E241" s="4">
        <v>203</v>
      </c>
      <c r="F241" s="4">
        <f>ROUND(Source!Q229,O241)</f>
        <v>4640.08</v>
      </c>
      <c r="G241" s="4" t="s">
        <v>221</v>
      </c>
      <c r="H241" s="4" t="s">
        <v>222</v>
      </c>
      <c r="I241" s="4"/>
      <c r="J241" s="4"/>
      <c r="K241" s="4">
        <v>203</v>
      </c>
      <c r="L241" s="4">
        <v>11</v>
      </c>
      <c r="M241" s="4">
        <v>3</v>
      </c>
      <c r="N241" s="4" t="s">
        <v>3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3" x14ac:dyDescent="0.2">
      <c r="A242" s="4">
        <v>50</v>
      </c>
      <c r="B242" s="4">
        <v>0</v>
      </c>
      <c r="C242" s="4">
        <v>0</v>
      </c>
      <c r="D242" s="4">
        <v>1</v>
      </c>
      <c r="E242" s="4">
        <v>231</v>
      </c>
      <c r="F242" s="4">
        <f>ROUND(Source!BB229,O242)</f>
        <v>0</v>
      </c>
      <c r="G242" s="4" t="s">
        <v>223</v>
      </c>
      <c r="H242" s="4" t="s">
        <v>224</v>
      </c>
      <c r="I242" s="4"/>
      <c r="J242" s="4"/>
      <c r="K242" s="4">
        <v>231</v>
      </c>
      <c r="L242" s="4">
        <v>12</v>
      </c>
      <c r="M242" s="4">
        <v>3</v>
      </c>
      <c r="N242" s="4" t="s">
        <v>3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3" x14ac:dyDescent="0.2">
      <c r="A243" s="4">
        <v>50</v>
      </c>
      <c r="B243" s="4">
        <v>0</v>
      </c>
      <c r="C243" s="4">
        <v>0</v>
      </c>
      <c r="D243" s="4">
        <v>1</v>
      </c>
      <c r="E243" s="4">
        <v>204</v>
      </c>
      <c r="F243" s="4">
        <f>ROUND(Source!R229,O243)</f>
        <v>1022.76</v>
      </c>
      <c r="G243" s="4" t="s">
        <v>225</v>
      </c>
      <c r="H243" s="4" t="s">
        <v>226</v>
      </c>
      <c r="I243" s="4"/>
      <c r="J243" s="4"/>
      <c r="K243" s="4">
        <v>204</v>
      </c>
      <c r="L243" s="4">
        <v>13</v>
      </c>
      <c r="M243" s="4">
        <v>3</v>
      </c>
      <c r="N243" s="4" t="s">
        <v>3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3" x14ac:dyDescent="0.2">
      <c r="A244" s="4">
        <v>50</v>
      </c>
      <c r="B244" s="4">
        <v>0</v>
      </c>
      <c r="C244" s="4">
        <v>0</v>
      </c>
      <c r="D244" s="4">
        <v>1</v>
      </c>
      <c r="E244" s="4">
        <v>205</v>
      </c>
      <c r="F244" s="4">
        <f>ROUND(Source!S229,O244)</f>
        <v>37494.86</v>
      </c>
      <c r="G244" s="4" t="s">
        <v>227</v>
      </c>
      <c r="H244" s="4" t="s">
        <v>228</v>
      </c>
      <c r="I244" s="4"/>
      <c r="J244" s="4"/>
      <c r="K244" s="4">
        <v>205</v>
      </c>
      <c r="L244" s="4">
        <v>14</v>
      </c>
      <c r="M244" s="4">
        <v>3</v>
      </c>
      <c r="N244" s="4" t="s">
        <v>3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3" x14ac:dyDescent="0.2">
      <c r="A245" s="4">
        <v>50</v>
      </c>
      <c r="B245" s="4">
        <v>0</v>
      </c>
      <c r="C245" s="4">
        <v>0</v>
      </c>
      <c r="D245" s="4">
        <v>1</v>
      </c>
      <c r="E245" s="4">
        <v>232</v>
      </c>
      <c r="F245" s="4">
        <f>ROUND(Source!BC229,O245)</f>
        <v>0</v>
      </c>
      <c r="G245" s="4" t="s">
        <v>229</v>
      </c>
      <c r="H245" s="4" t="s">
        <v>230</v>
      </c>
      <c r="I245" s="4"/>
      <c r="J245" s="4"/>
      <c r="K245" s="4">
        <v>232</v>
      </c>
      <c r="L245" s="4">
        <v>15</v>
      </c>
      <c r="M245" s="4">
        <v>3</v>
      </c>
      <c r="N245" s="4" t="s">
        <v>3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3" x14ac:dyDescent="0.2">
      <c r="A246" s="4">
        <v>50</v>
      </c>
      <c r="B246" s="4">
        <v>0</v>
      </c>
      <c r="C246" s="4">
        <v>0</v>
      </c>
      <c r="D246" s="4">
        <v>1</v>
      </c>
      <c r="E246" s="4">
        <v>214</v>
      </c>
      <c r="F246" s="4">
        <f>ROUND(Source!AS229,O246)</f>
        <v>404385</v>
      </c>
      <c r="G246" s="4" t="s">
        <v>231</v>
      </c>
      <c r="H246" s="4" t="s">
        <v>232</v>
      </c>
      <c r="I246" s="4"/>
      <c r="J246" s="4"/>
      <c r="K246" s="4">
        <v>214</v>
      </c>
      <c r="L246" s="4">
        <v>16</v>
      </c>
      <c r="M246" s="4">
        <v>3</v>
      </c>
      <c r="N246" s="4" t="s">
        <v>3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7" spans="1:23" x14ac:dyDescent="0.2">
      <c r="A247" s="4">
        <v>50</v>
      </c>
      <c r="B247" s="4">
        <v>0</v>
      </c>
      <c r="C247" s="4">
        <v>0</v>
      </c>
      <c r="D247" s="4">
        <v>1</v>
      </c>
      <c r="E247" s="4">
        <v>215</v>
      </c>
      <c r="F247" s="4">
        <f>ROUND(Source!AT229,O247)</f>
        <v>135160.82</v>
      </c>
      <c r="G247" s="4" t="s">
        <v>233</v>
      </c>
      <c r="H247" s="4" t="s">
        <v>234</v>
      </c>
      <c r="I247" s="4"/>
      <c r="J247" s="4"/>
      <c r="K247" s="4">
        <v>215</v>
      </c>
      <c r="L247" s="4">
        <v>17</v>
      </c>
      <c r="M247" s="4">
        <v>3</v>
      </c>
      <c r="N247" s="4" t="s">
        <v>3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3" x14ac:dyDescent="0.2">
      <c r="A248" s="4">
        <v>50</v>
      </c>
      <c r="B248" s="4">
        <v>0</v>
      </c>
      <c r="C248" s="4">
        <v>0</v>
      </c>
      <c r="D248" s="4">
        <v>1</v>
      </c>
      <c r="E248" s="4">
        <v>217</v>
      </c>
      <c r="F248" s="4">
        <f>ROUND(Source!AU229,O248)</f>
        <v>0</v>
      </c>
      <c r="G248" s="4" t="s">
        <v>235</v>
      </c>
      <c r="H248" s="4" t="s">
        <v>236</v>
      </c>
      <c r="I248" s="4"/>
      <c r="J248" s="4"/>
      <c r="K248" s="4">
        <v>217</v>
      </c>
      <c r="L248" s="4">
        <v>18</v>
      </c>
      <c r="M248" s="4">
        <v>3</v>
      </c>
      <c r="N248" s="4" t="s">
        <v>3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3" x14ac:dyDescent="0.2">
      <c r="A249" s="4">
        <v>50</v>
      </c>
      <c r="B249" s="4">
        <v>0</v>
      </c>
      <c r="C249" s="4">
        <v>0</v>
      </c>
      <c r="D249" s="4">
        <v>1</v>
      </c>
      <c r="E249" s="4">
        <v>230</v>
      </c>
      <c r="F249" s="4">
        <f>ROUND(Source!BA229,O249)</f>
        <v>0</v>
      </c>
      <c r="G249" s="4" t="s">
        <v>237</v>
      </c>
      <c r="H249" s="4" t="s">
        <v>238</v>
      </c>
      <c r="I249" s="4"/>
      <c r="J249" s="4"/>
      <c r="K249" s="4">
        <v>230</v>
      </c>
      <c r="L249" s="4">
        <v>19</v>
      </c>
      <c r="M249" s="4">
        <v>3</v>
      </c>
      <c r="N249" s="4" t="s">
        <v>3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3" x14ac:dyDescent="0.2">
      <c r="A250" s="4">
        <v>50</v>
      </c>
      <c r="B250" s="4">
        <v>0</v>
      </c>
      <c r="C250" s="4">
        <v>0</v>
      </c>
      <c r="D250" s="4">
        <v>1</v>
      </c>
      <c r="E250" s="4">
        <v>206</v>
      </c>
      <c r="F250" s="4">
        <f>ROUND(Source!T229,O250)</f>
        <v>0</v>
      </c>
      <c r="G250" s="4" t="s">
        <v>239</v>
      </c>
      <c r="H250" s="4" t="s">
        <v>240</v>
      </c>
      <c r="I250" s="4"/>
      <c r="J250" s="4"/>
      <c r="K250" s="4">
        <v>206</v>
      </c>
      <c r="L250" s="4">
        <v>20</v>
      </c>
      <c r="M250" s="4">
        <v>3</v>
      </c>
      <c r="N250" s="4" t="s">
        <v>3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3" x14ac:dyDescent="0.2">
      <c r="A251" s="4">
        <v>50</v>
      </c>
      <c r="B251" s="4">
        <v>0</v>
      </c>
      <c r="C251" s="4">
        <v>0</v>
      </c>
      <c r="D251" s="4">
        <v>1</v>
      </c>
      <c r="E251" s="4">
        <v>207</v>
      </c>
      <c r="F251" s="4">
        <f>Source!U229</f>
        <v>639.0943876</v>
      </c>
      <c r="G251" s="4" t="s">
        <v>241</v>
      </c>
      <c r="H251" s="4" t="s">
        <v>242</v>
      </c>
      <c r="I251" s="4"/>
      <c r="J251" s="4"/>
      <c r="K251" s="4">
        <v>207</v>
      </c>
      <c r="L251" s="4">
        <v>21</v>
      </c>
      <c r="M251" s="4">
        <v>3</v>
      </c>
      <c r="N251" s="4" t="s">
        <v>3</v>
      </c>
      <c r="O251" s="4">
        <v>-1</v>
      </c>
      <c r="P251" s="4"/>
      <c r="Q251" s="4"/>
      <c r="R251" s="4"/>
      <c r="S251" s="4"/>
      <c r="T251" s="4"/>
      <c r="U251" s="4"/>
      <c r="V251" s="4"/>
      <c r="W251" s="4"/>
    </row>
    <row r="252" spans="1:23" x14ac:dyDescent="0.2">
      <c r="A252" s="4">
        <v>50</v>
      </c>
      <c r="B252" s="4">
        <v>0</v>
      </c>
      <c r="C252" s="4">
        <v>0</v>
      </c>
      <c r="D252" s="4">
        <v>1</v>
      </c>
      <c r="E252" s="4">
        <v>208</v>
      </c>
      <c r="F252" s="4">
        <f>Source!V229</f>
        <v>13.089974999999995</v>
      </c>
      <c r="G252" s="4" t="s">
        <v>243</v>
      </c>
      <c r="H252" s="4" t="s">
        <v>244</v>
      </c>
      <c r="I252" s="4"/>
      <c r="J252" s="4"/>
      <c r="K252" s="4">
        <v>208</v>
      </c>
      <c r="L252" s="4">
        <v>22</v>
      </c>
      <c r="M252" s="4">
        <v>3</v>
      </c>
      <c r="N252" s="4" t="s">
        <v>3</v>
      </c>
      <c r="O252" s="4">
        <v>-1</v>
      </c>
      <c r="P252" s="4"/>
      <c r="Q252" s="4"/>
      <c r="R252" s="4"/>
      <c r="S252" s="4"/>
      <c r="T252" s="4"/>
      <c r="U252" s="4"/>
      <c r="V252" s="4"/>
      <c r="W252" s="4"/>
    </row>
    <row r="253" spans="1:23" x14ac:dyDescent="0.2">
      <c r="A253" s="4">
        <v>50</v>
      </c>
      <c r="B253" s="4">
        <v>0</v>
      </c>
      <c r="C253" s="4">
        <v>0</v>
      </c>
      <c r="D253" s="4">
        <v>1</v>
      </c>
      <c r="E253" s="4">
        <v>209</v>
      </c>
      <c r="F253" s="4">
        <f>ROUND(Source!W229,O253)</f>
        <v>0</v>
      </c>
      <c r="G253" s="4" t="s">
        <v>245</v>
      </c>
      <c r="H253" s="4" t="s">
        <v>246</v>
      </c>
      <c r="I253" s="4"/>
      <c r="J253" s="4"/>
      <c r="K253" s="4">
        <v>209</v>
      </c>
      <c r="L253" s="4">
        <v>23</v>
      </c>
      <c r="M253" s="4">
        <v>3</v>
      </c>
      <c r="N253" s="4" t="s">
        <v>3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3" x14ac:dyDescent="0.2">
      <c r="A254" s="4">
        <v>50</v>
      </c>
      <c r="B254" s="4">
        <v>0</v>
      </c>
      <c r="C254" s="4">
        <v>0</v>
      </c>
      <c r="D254" s="4">
        <v>1</v>
      </c>
      <c r="E254" s="4">
        <v>210</v>
      </c>
      <c r="F254" s="4">
        <f>ROUND(Source!X229,O254)</f>
        <v>36498.910000000003</v>
      </c>
      <c r="G254" s="4" t="s">
        <v>247</v>
      </c>
      <c r="H254" s="4" t="s">
        <v>248</v>
      </c>
      <c r="I254" s="4"/>
      <c r="J254" s="4"/>
      <c r="K254" s="4">
        <v>210</v>
      </c>
      <c r="L254" s="4">
        <v>24</v>
      </c>
      <c r="M254" s="4">
        <v>3</v>
      </c>
      <c r="N254" s="4" t="s">
        <v>3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3" x14ac:dyDescent="0.2">
      <c r="A255" s="4">
        <v>50</v>
      </c>
      <c r="B255" s="4">
        <v>0</v>
      </c>
      <c r="C255" s="4">
        <v>0</v>
      </c>
      <c r="D255" s="4">
        <v>1</v>
      </c>
      <c r="E255" s="4">
        <v>211</v>
      </c>
      <c r="F255" s="4">
        <f>ROUND(Source!Y229,O255)</f>
        <v>20615.560000000001</v>
      </c>
      <c r="G255" s="4" t="s">
        <v>249</v>
      </c>
      <c r="H255" s="4" t="s">
        <v>250</v>
      </c>
      <c r="I255" s="4"/>
      <c r="J255" s="4"/>
      <c r="K255" s="4">
        <v>211</v>
      </c>
      <c r="L255" s="4">
        <v>25</v>
      </c>
      <c r="M255" s="4">
        <v>3</v>
      </c>
      <c r="N255" s="4" t="s">
        <v>3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3" x14ac:dyDescent="0.2">
      <c r="A256" s="4">
        <v>50</v>
      </c>
      <c r="B256" s="4">
        <v>0</v>
      </c>
      <c r="C256" s="4">
        <v>0</v>
      </c>
      <c r="D256" s="4">
        <v>1</v>
      </c>
      <c r="E256" s="4">
        <v>224</v>
      </c>
      <c r="F256" s="4">
        <f>ROUND(Source!AR229,O256)</f>
        <v>539545.81999999995</v>
      </c>
      <c r="G256" s="4" t="s">
        <v>251</v>
      </c>
      <c r="H256" s="4" t="s">
        <v>252</v>
      </c>
      <c r="I256" s="4"/>
      <c r="J256" s="4"/>
      <c r="K256" s="4">
        <v>224</v>
      </c>
      <c r="L256" s="4">
        <v>26</v>
      </c>
      <c r="M256" s="4">
        <v>3</v>
      </c>
      <c r="N256" s="4" t="s">
        <v>3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9" spans="1:14" x14ac:dyDescent="0.2">
      <c r="A259">
        <v>70</v>
      </c>
      <c r="B259">
        <v>1</v>
      </c>
      <c r="D259">
        <v>1</v>
      </c>
      <c r="E259" t="s">
        <v>393</v>
      </c>
      <c r="F259" t="s">
        <v>394</v>
      </c>
      <c r="G259">
        <v>0</v>
      </c>
      <c r="H259">
        <v>0</v>
      </c>
      <c r="I259" t="s">
        <v>3</v>
      </c>
      <c r="J259">
        <v>1</v>
      </c>
      <c r="K259">
        <v>0</v>
      </c>
      <c r="L259" t="s">
        <v>3</v>
      </c>
      <c r="M259" t="s">
        <v>3</v>
      </c>
      <c r="N259">
        <v>0</v>
      </c>
    </row>
    <row r="260" spans="1:14" x14ac:dyDescent="0.2">
      <c r="A260">
        <v>70</v>
      </c>
      <c r="B260">
        <v>1</v>
      </c>
      <c r="D260">
        <v>2</v>
      </c>
      <c r="E260" t="s">
        <v>395</v>
      </c>
      <c r="F260" t="s">
        <v>396</v>
      </c>
      <c r="G260">
        <v>1</v>
      </c>
      <c r="H260">
        <v>0</v>
      </c>
      <c r="I260" t="s">
        <v>3</v>
      </c>
      <c r="J260">
        <v>1</v>
      </c>
      <c r="K260">
        <v>0</v>
      </c>
      <c r="L260" t="s">
        <v>3</v>
      </c>
      <c r="M260" t="s">
        <v>3</v>
      </c>
      <c r="N260">
        <v>0</v>
      </c>
    </row>
    <row r="261" spans="1:14" x14ac:dyDescent="0.2">
      <c r="A261">
        <v>70</v>
      </c>
      <c r="B261">
        <v>1</v>
      </c>
      <c r="D261">
        <v>3</v>
      </c>
      <c r="E261" t="s">
        <v>397</v>
      </c>
      <c r="F261" t="s">
        <v>398</v>
      </c>
      <c r="G261">
        <v>0</v>
      </c>
      <c r="H261">
        <v>0</v>
      </c>
      <c r="I261" t="s">
        <v>3</v>
      </c>
      <c r="J261">
        <v>1</v>
      </c>
      <c r="K261">
        <v>0</v>
      </c>
      <c r="L261" t="s">
        <v>3</v>
      </c>
      <c r="M261" t="s">
        <v>3</v>
      </c>
      <c r="N261">
        <v>0</v>
      </c>
    </row>
    <row r="262" spans="1:14" x14ac:dyDescent="0.2">
      <c r="A262">
        <v>70</v>
      </c>
      <c r="B262">
        <v>1</v>
      </c>
      <c r="D262">
        <v>4</v>
      </c>
      <c r="E262" t="s">
        <v>399</v>
      </c>
      <c r="F262" t="s">
        <v>400</v>
      </c>
      <c r="G262">
        <v>0</v>
      </c>
      <c r="H262">
        <v>0</v>
      </c>
      <c r="I262" t="s">
        <v>401</v>
      </c>
      <c r="J262">
        <v>0</v>
      </c>
      <c r="K262">
        <v>0</v>
      </c>
      <c r="L262" t="s">
        <v>3</v>
      </c>
      <c r="M262" t="s">
        <v>3</v>
      </c>
      <c r="N262">
        <v>0</v>
      </c>
    </row>
    <row r="263" spans="1:14" x14ac:dyDescent="0.2">
      <c r="A263">
        <v>70</v>
      </c>
      <c r="B263">
        <v>1</v>
      </c>
      <c r="D263">
        <v>5</v>
      </c>
      <c r="E263" t="s">
        <v>402</v>
      </c>
      <c r="F263" t="s">
        <v>403</v>
      </c>
      <c r="G263">
        <v>0</v>
      </c>
      <c r="H263">
        <v>0</v>
      </c>
      <c r="I263" t="s">
        <v>404</v>
      </c>
      <c r="J263">
        <v>0</v>
      </c>
      <c r="K263">
        <v>0</v>
      </c>
      <c r="L263" t="s">
        <v>3</v>
      </c>
      <c r="M263" t="s">
        <v>3</v>
      </c>
      <c r="N263">
        <v>0</v>
      </c>
    </row>
    <row r="264" spans="1:14" x14ac:dyDescent="0.2">
      <c r="A264">
        <v>70</v>
      </c>
      <c r="B264">
        <v>1</v>
      </c>
      <c r="D264">
        <v>6</v>
      </c>
      <c r="E264" t="s">
        <v>405</v>
      </c>
      <c r="F264" t="s">
        <v>406</v>
      </c>
      <c r="G264">
        <v>0</v>
      </c>
      <c r="H264">
        <v>0</v>
      </c>
      <c r="I264" t="s">
        <v>407</v>
      </c>
      <c r="J264">
        <v>0</v>
      </c>
      <c r="K264">
        <v>0</v>
      </c>
      <c r="L264" t="s">
        <v>3</v>
      </c>
      <c r="M264" t="s">
        <v>3</v>
      </c>
      <c r="N264">
        <v>0</v>
      </c>
    </row>
    <row r="265" spans="1:14" x14ac:dyDescent="0.2">
      <c r="A265">
        <v>70</v>
      </c>
      <c r="B265">
        <v>1</v>
      </c>
      <c r="D265">
        <v>7</v>
      </c>
      <c r="E265" t="s">
        <v>408</v>
      </c>
      <c r="F265" t="s">
        <v>409</v>
      </c>
      <c r="G265">
        <v>0</v>
      </c>
      <c r="H265">
        <v>0</v>
      </c>
      <c r="I265" t="s">
        <v>3</v>
      </c>
      <c r="J265">
        <v>0</v>
      </c>
      <c r="K265">
        <v>0</v>
      </c>
      <c r="L265" t="s">
        <v>3</v>
      </c>
      <c r="M265" t="s">
        <v>3</v>
      </c>
      <c r="N265">
        <v>0</v>
      </c>
    </row>
    <row r="266" spans="1:14" x14ac:dyDescent="0.2">
      <c r="A266">
        <v>70</v>
      </c>
      <c r="B266">
        <v>1</v>
      </c>
      <c r="D266">
        <v>8</v>
      </c>
      <c r="E266" t="s">
        <v>410</v>
      </c>
      <c r="F266" t="s">
        <v>411</v>
      </c>
      <c r="G266">
        <v>0</v>
      </c>
      <c r="H266">
        <v>0</v>
      </c>
      <c r="I266" t="s">
        <v>412</v>
      </c>
      <c r="J266">
        <v>0</v>
      </c>
      <c r="K266">
        <v>0</v>
      </c>
      <c r="L266" t="s">
        <v>3</v>
      </c>
      <c r="M266" t="s">
        <v>3</v>
      </c>
      <c r="N266">
        <v>0</v>
      </c>
    </row>
    <row r="267" spans="1:14" x14ac:dyDescent="0.2">
      <c r="A267">
        <v>70</v>
      </c>
      <c r="B267">
        <v>1</v>
      </c>
      <c r="D267">
        <v>9</v>
      </c>
      <c r="E267" t="s">
        <v>413</v>
      </c>
      <c r="F267" t="s">
        <v>414</v>
      </c>
      <c r="G267">
        <v>0</v>
      </c>
      <c r="H267">
        <v>0</v>
      </c>
      <c r="I267" t="s">
        <v>415</v>
      </c>
      <c r="J267">
        <v>0</v>
      </c>
      <c r="K267">
        <v>0</v>
      </c>
      <c r="L267" t="s">
        <v>3</v>
      </c>
      <c r="M267" t="s">
        <v>3</v>
      </c>
      <c r="N267">
        <v>0</v>
      </c>
    </row>
    <row r="268" spans="1:14" x14ac:dyDescent="0.2">
      <c r="A268">
        <v>70</v>
      </c>
      <c r="B268">
        <v>1</v>
      </c>
      <c r="D268">
        <v>10</v>
      </c>
      <c r="E268" t="s">
        <v>416</v>
      </c>
      <c r="F268" t="s">
        <v>417</v>
      </c>
      <c r="G268">
        <v>0</v>
      </c>
      <c r="H268">
        <v>0</v>
      </c>
      <c r="I268" t="s">
        <v>418</v>
      </c>
      <c r="J268">
        <v>0</v>
      </c>
      <c r="K268">
        <v>0</v>
      </c>
      <c r="L268" t="s">
        <v>3</v>
      </c>
      <c r="M268" t="s">
        <v>3</v>
      </c>
      <c r="N268">
        <v>0</v>
      </c>
    </row>
    <row r="269" spans="1:14" x14ac:dyDescent="0.2">
      <c r="A269">
        <v>70</v>
      </c>
      <c r="B269">
        <v>1</v>
      </c>
      <c r="D269">
        <v>11</v>
      </c>
      <c r="E269" t="s">
        <v>419</v>
      </c>
      <c r="F269" t="s">
        <v>420</v>
      </c>
      <c r="G269">
        <v>0</v>
      </c>
      <c r="H269">
        <v>0</v>
      </c>
      <c r="I269" t="s">
        <v>421</v>
      </c>
      <c r="J269">
        <v>0</v>
      </c>
      <c r="K269">
        <v>0</v>
      </c>
      <c r="L269" t="s">
        <v>3</v>
      </c>
      <c r="M269" t="s">
        <v>3</v>
      </c>
      <c r="N269">
        <v>0</v>
      </c>
    </row>
    <row r="270" spans="1:14" x14ac:dyDescent="0.2">
      <c r="A270">
        <v>70</v>
      </c>
      <c r="B270">
        <v>1</v>
      </c>
      <c r="D270">
        <v>12</v>
      </c>
      <c r="E270" t="s">
        <v>422</v>
      </c>
      <c r="F270" t="s">
        <v>423</v>
      </c>
      <c r="G270">
        <v>0</v>
      </c>
      <c r="H270">
        <v>0</v>
      </c>
      <c r="I270" t="s">
        <v>3</v>
      </c>
      <c r="J270">
        <v>0</v>
      </c>
      <c r="K270">
        <v>0</v>
      </c>
      <c r="L270" t="s">
        <v>3</v>
      </c>
      <c r="M270" t="s">
        <v>3</v>
      </c>
      <c r="N270">
        <v>0</v>
      </c>
    </row>
    <row r="271" spans="1:14" x14ac:dyDescent="0.2">
      <c r="A271">
        <v>70</v>
      </c>
      <c r="B271">
        <v>1</v>
      </c>
      <c r="D271">
        <v>1</v>
      </c>
      <c r="E271" t="s">
        <v>424</v>
      </c>
      <c r="F271" t="s">
        <v>425</v>
      </c>
      <c r="G271">
        <v>0.9</v>
      </c>
      <c r="H271">
        <v>1</v>
      </c>
      <c r="I271" t="s">
        <v>426</v>
      </c>
      <c r="J271">
        <v>0</v>
      </c>
      <c r="K271">
        <v>0</v>
      </c>
      <c r="L271" t="s">
        <v>3</v>
      </c>
      <c r="M271" t="s">
        <v>3</v>
      </c>
      <c r="N271">
        <v>0</v>
      </c>
    </row>
    <row r="272" spans="1:14" x14ac:dyDescent="0.2">
      <c r="A272">
        <v>70</v>
      </c>
      <c r="B272">
        <v>1</v>
      </c>
      <c r="D272">
        <v>2</v>
      </c>
      <c r="E272" t="s">
        <v>427</v>
      </c>
      <c r="F272" t="s">
        <v>428</v>
      </c>
      <c r="G272">
        <v>0.85</v>
      </c>
      <c r="H272">
        <v>1</v>
      </c>
      <c r="I272" t="s">
        <v>429</v>
      </c>
      <c r="J272">
        <v>0</v>
      </c>
      <c r="K272">
        <v>0</v>
      </c>
      <c r="L272" t="s">
        <v>3</v>
      </c>
      <c r="M272" t="s">
        <v>3</v>
      </c>
      <c r="N272">
        <v>0</v>
      </c>
    </row>
    <row r="273" spans="1:34" x14ac:dyDescent="0.2">
      <c r="A273">
        <v>70</v>
      </c>
      <c r="B273">
        <v>1</v>
      </c>
      <c r="D273">
        <v>3</v>
      </c>
      <c r="E273" t="s">
        <v>430</v>
      </c>
      <c r="F273" t="s">
        <v>431</v>
      </c>
      <c r="G273">
        <v>1</v>
      </c>
      <c r="H273">
        <v>0.85</v>
      </c>
      <c r="I273" t="s">
        <v>432</v>
      </c>
      <c r="J273">
        <v>0</v>
      </c>
      <c r="K273">
        <v>0</v>
      </c>
      <c r="L273" t="s">
        <v>3</v>
      </c>
      <c r="M273" t="s">
        <v>3</v>
      </c>
      <c r="N273">
        <v>0</v>
      </c>
    </row>
    <row r="274" spans="1:34" x14ac:dyDescent="0.2">
      <c r="A274">
        <v>70</v>
      </c>
      <c r="B274">
        <v>1</v>
      </c>
      <c r="D274">
        <v>4</v>
      </c>
      <c r="E274" t="s">
        <v>433</v>
      </c>
      <c r="F274" t="s">
        <v>434</v>
      </c>
      <c r="G274">
        <v>1</v>
      </c>
      <c r="H274">
        <v>0</v>
      </c>
      <c r="I274" t="s">
        <v>3</v>
      </c>
      <c r="J274">
        <v>0</v>
      </c>
      <c r="K274">
        <v>0</v>
      </c>
      <c r="L274" t="s">
        <v>3</v>
      </c>
      <c r="M274" t="s">
        <v>3</v>
      </c>
      <c r="N274">
        <v>0</v>
      </c>
    </row>
    <row r="275" spans="1:34" x14ac:dyDescent="0.2">
      <c r="A275">
        <v>70</v>
      </c>
      <c r="B275">
        <v>1</v>
      </c>
      <c r="D275">
        <v>5</v>
      </c>
      <c r="E275" t="s">
        <v>435</v>
      </c>
      <c r="F275" t="s">
        <v>436</v>
      </c>
      <c r="G275">
        <v>1</v>
      </c>
      <c r="H275">
        <v>0.8</v>
      </c>
      <c r="I275" t="s">
        <v>437</v>
      </c>
      <c r="J275">
        <v>0</v>
      </c>
      <c r="K275">
        <v>0</v>
      </c>
      <c r="L275" t="s">
        <v>3</v>
      </c>
      <c r="M275" t="s">
        <v>3</v>
      </c>
      <c r="N275">
        <v>0</v>
      </c>
    </row>
    <row r="276" spans="1:34" x14ac:dyDescent="0.2">
      <c r="A276">
        <v>70</v>
      </c>
      <c r="B276">
        <v>1</v>
      </c>
      <c r="D276">
        <v>6</v>
      </c>
      <c r="E276" t="s">
        <v>438</v>
      </c>
      <c r="F276" t="s">
        <v>439</v>
      </c>
      <c r="G276">
        <v>0.85</v>
      </c>
      <c r="H276">
        <v>0</v>
      </c>
      <c r="I276" t="s">
        <v>3</v>
      </c>
      <c r="J276">
        <v>0</v>
      </c>
      <c r="K276">
        <v>0</v>
      </c>
      <c r="L276" t="s">
        <v>3</v>
      </c>
      <c r="M276" t="s">
        <v>3</v>
      </c>
      <c r="N276">
        <v>0</v>
      </c>
    </row>
    <row r="277" spans="1:34" x14ac:dyDescent="0.2">
      <c r="A277">
        <v>70</v>
      </c>
      <c r="B277">
        <v>1</v>
      </c>
      <c r="D277">
        <v>7</v>
      </c>
      <c r="E277" t="s">
        <v>440</v>
      </c>
      <c r="F277" t="s">
        <v>441</v>
      </c>
      <c r="G277">
        <v>0.8</v>
      </c>
      <c r="H277">
        <v>0</v>
      </c>
      <c r="I277" t="s">
        <v>3</v>
      </c>
      <c r="J277">
        <v>0</v>
      </c>
      <c r="K277">
        <v>0</v>
      </c>
      <c r="L277" t="s">
        <v>3</v>
      </c>
      <c r="M277" t="s">
        <v>3</v>
      </c>
      <c r="N277">
        <v>0</v>
      </c>
    </row>
    <row r="278" spans="1:34" x14ac:dyDescent="0.2">
      <c r="A278">
        <v>70</v>
      </c>
      <c r="B278">
        <v>1</v>
      </c>
      <c r="D278">
        <v>8</v>
      </c>
      <c r="E278" t="s">
        <v>442</v>
      </c>
      <c r="F278" t="s">
        <v>443</v>
      </c>
      <c r="G278">
        <v>0.94</v>
      </c>
      <c r="H278">
        <v>0</v>
      </c>
      <c r="I278" t="s">
        <v>3</v>
      </c>
      <c r="J278">
        <v>0</v>
      </c>
      <c r="K278">
        <v>0</v>
      </c>
      <c r="L278" t="s">
        <v>3</v>
      </c>
      <c r="M278" t="s">
        <v>3</v>
      </c>
      <c r="N278">
        <v>0</v>
      </c>
    </row>
    <row r="279" spans="1:34" x14ac:dyDescent="0.2">
      <c r="A279">
        <v>70</v>
      </c>
      <c r="B279">
        <v>1</v>
      </c>
      <c r="D279">
        <v>9</v>
      </c>
      <c r="E279" t="s">
        <v>444</v>
      </c>
      <c r="F279" t="s">
        <v>445</v>
      </c>
      <c r="G279">
        <v>0.9</v>
      </c>
      <c r="H279">
        <v>0</v>
      </c>
      <c r="I279" t="s">
        <v>3</v>
      </c>
      <c r="J279">
        <v>0</v>
      </c>
      <c r="K279">
        <v>0</v>
      </c>
      <c r="L279" t="s">
        <v>3</v>
      </c>
      <c r="M279" t="s">
        <v>3</v>
      </c>
      <c r="N279">
        <v>0</v>
      </c>
    </row>
    <row r="280" spans="1:34" x14ac:dyDescent="0.2">
      <c r="A280">
        <v>70</v>
      </c>
      <c r="B280">
        <v>1</v>
      </c>
      <c r="D280">
        <v>10</v>
      </c>
      <c r="E280" t="s">
        <v>446</v>
      </c>
      <c r="F280" t="s">
        <v>447</v>
      </c>
      <c r="G280">
        <v>0.6</v>
      </c>
      <c r="H280">
        <v>0</v>
      </c>
      <c r="I280" t="s">
        <v>3</v>
      </c>
      <c r="J280">
        <v>0</v>
      </c>
      <c r="K280">
        <v>0</v>
      </c>
      <c r="L280" t="s">
        <v>3</v>
      </c>
      <c r="M280" t="s">
        <v>3</v>
      </c>
      <c r="N280">
        <v>0</v>
      </c>
    </row>
    <row r="281" spans="1:34" x14ac:dyDescent="0.2">
      <c r="A281">
        <v>70</v>
      </c>
      <c r="B281">
        <v>1</v>
      </c>
      <c r="D281">
        <v>11</v>
      </c>
      <c r="E281" t="s">
        <v>448</v>
      </c>
      <c r="F281" t="s">
        <v>449</v>
      </c>
      <c r="G281">
        <v>1.2</v>
      </c>
      <c r="H281">
        <v>0</v>
      </c>
      <c r="I281" t="s">
        <v>3</v>
      </c>
      <c r="J281">
        <v>0</v>
      </c>
      <c r="K281">
        <v>0</v>
      </c>
      <c r="L281" t="s">
        <v>3</v>
      </c>
      <c r="M281" t="s">
        <v>3</v>
      </c>
      <c r="N281">
        <v>0</v>
      </c>
    </row>
    <row r="282" spans="1:34" x14ac:dyDescent="0.2">
      <c r="A282">
        <v>70</v>
      </c>
      <c r="B282">
        <v>1</v>
      </c>
      <c r="D282">
        <v>12</v>
      </c>
      <c r="E282" t="s">
        <v>450</v>
      </c>
      <c r="F282" t="s">
        <v>451</v>
      </c>
      <c r="G282">
        <v>0</v>
      </c>
      <c r="H282">
        <v>0</v>
      </c>
      <c r="I282" t="s">
        <v>3</v>
      </c>
      <c r="J282">
        <v>0</v>
      </c>
      <c r="K282">
        <v>0</v>
      </c>
      <c r="L282" t="s">
        <v>3</v>
      </c>
      <c r="M282" t="s">
        <v>3</v>
      </c>
      <c r="N282">
        <v>0</v>
      </c>
    </row>
    <row r="283" spans="1:34" x14ac:dyDescent="0.2">
      <c r="A283">
        <v>70</v>
      </c>
      <c r="B283">
        <v>1</v>
      </c>
      <c r="D283">
        <v>13</v>
      </c>
      <c r="E283" t="s">
        <v>452</v>
      </c>
      <c r="F283" t="s">
        <v>453</v>
      </c>
      <c r="G283">
        <v>0.94</v>
      </c>
      <c r="H283">
        <v>0</v>
      </c>
      <c r="I283" t="s">
        <v>3</v>
      </c>
      <c r="J283">
        <v>0</v>
      </c>
      <c r="K283">
        <v>0</v>
      </c>
      <c r="L283" t="s">
        <v>3</v>
      </c>
      <c r="M283" t="s">
        <v>3</v>
      </c>
      <c r="N283">
        <v>0</v>
      </c>
    </row>
    <row r="285" spans="1:34" x14ac:dyDescent="0.2">
      <c r="A285">
        <v>-1</v>
      </c>
    </row>
    <row r="287" spans="1:34" x14ac:dyDescent="0.2">
      <c r="A287" s="3">
        <v>75</v>
      </c>
      <c r="B287" s="3" t="s">
        <v>454</v>
      </c>
      <c r="C287" s="3">
        <v>2018</v>
      </c>
      <c r="D287" s="3">
        <v>3</v>
      </c>
      <c r="E287" s="3">
        <v>0</v>
      </c>
      <c r="F287" s="3">
        <v>0</v>
      </c>
      <c r="G287" s="3">
        <v>0</v>
      </c>
      <c r="H287" s="3">
        <v>1</v>
      </c>
      <c r="I287" s="3">
        <v>0</v>
      </c>
      <c r="J287" s="3">
        <v>1</v>
      </c>
      <c r="K287" s="3">
        <v>0</v>
      </c>
      <c r="L287" s="3">
        <v>0</v>
      </c>
      <c r="M287" s="3">
        <v>0</v>
      </c>
      <c r="N287" s="3">
        <v>39616881</v>
      </c>
      <c r="O287" s="3">
        <v>1</v>
      </c>
    </row>
    <row r="288" spans="1:34" x14ac:dyDescent="0.2">
      <c r="A288" s="5">
        <v>3</v>
      </c>
      <c r="B288" s="5" t="s">
        <v>455</v>
      </c>
      <c r="C288" s="5">
        <v>6.61</v>
      </c>
      <c r="D288" s="5">
        <v>1</v>
      </c>
      <c r="E288" s="5">
        <v>1</v>
      </c>
      <c r="F288" s="5">
        <v>1</v>
      </c>
      <c r="G288" s="5">
        <v>1</v>
      </c>
      <c r="H288" s="5">
        <v>1</v>
      </c>
      <c r="I288" s="5">
        <v>1</v>
      </c>
      <c r="J288" s="5">
        <v>1</v>
      </c>
      <c r="K288" s="5">
        <v>12.86</v>
      </c>
      <c r="L288" s="5">
        <v>1</v>
      </c>
      <c r="M288" s="5">
        <v>6.61</v>
      </c>
      <c r="N288" s="5">
        <v>1</v>
      </c>
      <c r="O288" s="5">
        <v>1</v>
      </c>
      <c r="P288" s="5">
        <v>1</v>
      </c>
      <c r="Q288" s="5">
        <v>12.86</v>
      </c>
      <c r="R288" s="5">
        <v>1</v>
      </c>
      <c r="S288" s="5" t="s">
        <v>3</v>
      </c>
      <c r="T288" s="5" t="s">
        <v>3</v>
      </c>
      <c r="U288" s="5" t="s">
        <v>3</v>
      </c>
      <c r="V288" s="5" t="s">
        <v>3</v>
      </c>
      <c r="W288" s="5" t="s">
        <v>3</v>
      </c>
      <c r="X288" s="5" t="s">
        <v>3</v>
      </c>
      <c r="Y288" s="5" t="s">
        <v>3</v>
      </c>
      <c r="Z288" s="5" t="s">
        <v>3</v>
      </c>
      <c r="AA288" s="5" t="s">
        <v>3</v>
      </c>
      <c r="AB288" s="5" t="s">
        <v>3</v>
      </c>
      <c r="AC288" s="5" t="s">
        <v>3</v>
      </c>
      <c r="AD288" s="5" t="s">
        <v>3</v>
      </c>
      <c r="AE288" s="5" t="s">
        <v>3</v>
      </c>
      <c r="AF288" s="5" t="s">
        <v>3</v>
      </c>
      <c r="AG288" s="5" t="s">
        <v>3</v>
      </c>
      <c r="AH288" s="5" t="s">
        <v>3</v>
      </c>
    </row>
    <row r="292" spans="1:5" x14ac:dyDescent="0.2">
      <c r="A292">
        <v>65</v>
      </c>
      <c r="C292">
        <v>1</v>
      </c>
      <c r="D292">
        <v>0</v>
      </c>
      <c r="E29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456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39616881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(Source!F214)/1000</f>
        <v>404.38499999999999</v>
      </c>
      <c r="F16" s="7">
        <f>(Source!F215)/1000</f>
        <v>135.16082</v>
      </c>
      <c r="G16" s="7">
        <f>(Source!F206)/1000</f>
        <v>0</v>
      </c>
      <c r="H16" s="7">
        <f>(Source!F216)/1000+(Source!F217)/1000</f>
        <v>0</v>
      </c>
      <c r="I16" s="7">
        <f>E16+F16+G16+H16</f>
        <v>539.54582000000005</v>
      </c>
      <c r="J16" s="7">
        <f>(Source!F212)/1000</f>
        <v>37.494860000000003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476547.07</v>
      </c>
      <c r="AU16" s="7">
        <v>434412.13</v>
      </c>
      <c r="AV16" s="7">
        <v>0</v>
      </c>
      <c r="AW16" s="7">
        <v>0</v>
      </c>
      <c r="AX16" s="7">
        <v>0</v>
      </c>
      <c r="AY16" s="7">
        <v>4640.08</v>
      </c>
      <c r="AZ16" s="7">
        <v>1022.76</v>
      </c>
      <c r="BA16" s="7">
        <v>37494.86</v>
      </c>
      <c r="BB16" s="7">
        <v>404385</v>
      </c>
      <c r="BC16" s="7">
        <v>135160.82</v>
      </c>
      <c r="BD16" s="7">
        <v>0</v>
      </c>
      <c r="BE16" s="7">
        <v>0</v>
      </c>
      <c r="BF16" s="7">
        <v>639.09438760000012</v>
      </c>
      <c r="BG16" s="7">
        <v>13.089975000000001</v>
      </c>
      <c r="BH16" s="7">
        <v>0</v>
      </c>
      <c r="BI16" s="7">
        <v>36498.910000000003</v>
      </c>
      <c r="BJ16" s="7">
        <v>20615.560000000001</v>
      </c>
      <c r="BK16" s="7">
        <v>539545.81999999995</v>
      </c>
    </row>
    <row r="18" spans="1:19" x14ac:dyDescent="0.2">
      <c r="A18">
        <v>51</v>
      </c>
      <c r="E18" s="8">
        <f>SUMIF(A16:A17,3,E16:E17)</f>
        <v>404.38499999999999</v>
      </c>
      <c r="F18" s="8">
        <f>SUMIF(A16:A17,3,F16:F17)</f>
        <v>135.16082</v>
      </c>
      <c r="G18" s="8">
        <f>SUMIF(A16:A17,3,G16:G17)</f>
        <v>0</v>
      </c>
      <c r="H18" s="8">
        <f>SUMIF(A16:A17,3,H16:H17)</f>
        <v>0</v>
      </c>
      <c r="I18" s="8">
        <f>SUMIF(A16:A17,3,I16:I17)</f>
        <v>539.54582000000005</v>
      </c>
      <c r="J18" s="8">
        <f>SUMIF(A16:A17,3,J16:J17)</f>
        <v>37.494860000000003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476547.07</v>
      </c>
      <c r="G20" s="4" t="s">
        <v>201</v>
      </c>
      <c r="H20" s="4" t="s">
        <v>202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434412.13</v>
      </c>
      <c r="G21" s="4" t="s">
        <v>203</v>
      </c>
      <c r="H21" s="4" t="s">
        <v>204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205</v>
      </c>
      <c r="H22" s="4" t="s">
        <v>206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434412.13</v>
      </c>
      <c r="G23" s="4" t="s">
        <v>207</v>
      </c>
      <c r="H23" s="4" t="s">
        <v>208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434412.13</v>
      </c>
      <c r="G24" s="4" t="s">
        <v>209</v>
      </c>
      <c r="H24" s="4" t="s">
        <v>210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211</v>
      </c>
      <c r="H25" s="4" t="s">
        <v>212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434412.13</v>
      </c>
      <c r="G26" s="4" t="s">
        <v>213</v>
      </c>
      <c r="H26" s="4" t="s">
        <v>214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215</v>
      </c>
      <c r="H27" s="4" t="s">
        <v>216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217</v>
      </c>
      <c r="H28" s="4" t="s">
        <v>218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219</v>
      </c>
      <c r="H29" s="4" t="s">
        <v>220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4640.08</v>
      </c>
      <c r="G30" s="4" t="s">
        <v>221</v>
      </c>
      <c r="H30" s="4" t="s">
        <v>222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223</v>
      </c>
      <c r="H31" s="4" t="s">
        <v>224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1022.76</v>
      </c>
      <c r="G32" s="4" t="s">
        <v>225</v>
      </c>
      <c r="H32" s="4" t="s">
        <v>226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37494.86</v>
      </c>
      <c r="G33" s="4" t="s">
        <v>227</v>
      </c>
      <c r="H33" s="4" t="s">
        <v>228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229</v>
      </c>
      <c r="H34" s="4" t="s">
        <v>230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404385</v>
      </c>
      <c r="G35" s="4" t="s">
        <v>231</v>
      </c>
      <c r="H35" s="4" t="s">
        <v>232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135160.82</v>
      </c>
      <c r="G36" s="4" t="s">
        <v>233</v>
      </c>
      <c r="H36" s="4" t="s">
        <v>234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235</v>
      </c>
      <c r="H37" s="4" t="s">
        <v>236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237</v>
      </c>
      <c r="H38" s="4" t="s">
        <v>238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239</v>
      </c>
      <c r="H39" s="4" t="s">
        <v>240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639.09438760000012</v>
      </c>
      <c r="G40" s="4" t="s">
        <v>241</v>
      </c>
      <c r="H40" s="4" t="s">
        <v>242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13.089975000000001</v>
      </c>
      <c r="G41" s="4" t="s">
        <v>243</v>
      </c>
      <c r="H41" s="4" t="s">
        <v>244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245</v>
      </c>
      <c r="H42" s="4" t="s">
        <v>246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36498.910000000003</v>
      </c>
      <c r="G43" s="4" t="s">
        <v>247</v>
      </c>
      <c r="H43" s="4" t="s">
        <v>248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20615.560000000001</v>
      </c>
      <c r="G44" s="4" t="s">
        <v>249</v>
      </c>
      <c r="H44" s="4" t="s">
        <v>250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539545.81999999995</v>
      </c>
      <c r="G45" s="4" t="s">
        <v>251</v>
      </c>
      <c r="H45" s="4" t="s">
        <v>252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454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39616881</v>
      </c>
      <c r="O50" s="3">
        <v>1</v>
      </c>
    </row>
    <row r="51" spans="1:34" x14ac:dyDescent="0.2">
      <c r="A51" s="5">
        <v>3</v>
      </c>
      <c r="B51" s="5" t="s">
        <v>455</v>
      </c>
      <c r="C51" s="5">
        <v>6.61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12.86</v>
      </c>
      <c r="L51" s="5">
        <v>1</v>
      </c>
      <c r="M51" s="5">
        <v>6.61</v>
      </c>
      <c r="N51" s="5">
        <v>1</v>
      </c>
      <c r="O51" s="5">
        <v>1</v>
      </c>
      <c r="P51" s="5">
        <v>1</v>
      </c>
      <c r="Q51" s="5">
        <v>12.86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1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39616881</v>
      </c>
      <c r="C1">
        <v>39617340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457</v>
      </c>
      <c r="J1" t="s">
        <v>3</v>
      </c>
      <c r="K1" t="s">
        <v>458</v>
      </c>
      <c r="L1">
        <v>1191</v>
      </c>
      <c r="N1">
        <v>1013</v>
      </c>
      <c r="O1" t="s">
        <v>459</v>
      </c>
      <c r="P1" t="s">
        <v>459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51.56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6.61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3.77</v>
      </c>
      <c r="AU1" t="s">
        <v>3</v>
      </c>
      <c r="AV1">
        <v>1</v>
      </c>
      <c r="AW1">
        <v>2</v>
      </c>
      <c r="AX1">
        <v>39617370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2.894606</v>
      </c>
      <c r="CY1">
        <f>AD1</f>
        <v>51.56</v>
      </c>
      <c r="CZ1">
        <f>AH1</f>
        <v>7.8</v>
      </c>
      <c r="DA1">
        <f>AL1</f>
        <v>6.61</v>
      </c>
      <c r="DB1">
        <v>0</v>
      </c>
    </row>
    <row r="2" spans="1:106" x14ac:dyDescent="0.2">
      <c r="A2">
        <f>ROW(Source!A29)</f>
        <v>29</v>
      </c>
      <c r="B2">
        <v>39616881</v>
      </c>
      <c r="C2">
        <v>39617341</v>
      </c>
      <c r="D2">
        <v>37064998</v>
      </c>
      <c r="E2">
        <v>1</v>
      </c>
      <c r="F2">
        <v>1</v>
      </c>
      <c r="G2">
        <v>1</v>
      </c>
      <c r="H2">
        <v>1</v>
      </c>
      <c r="I2" t="s">
        <v>457</v>
      </c>
      <c r="J2" t="s">
        <v>3</v>
      </c>
      <c r="K2" t="s">
        <v>458</v>
      </c>
      <c r="L2">
        <v>1191</v>
      </c>
      <c r="N2">
        <v>1013</v>
      </c>
      <c r="O2" t="s">
        <v>459</v>
      </c>
      <c r="P2" t="s">
        <v>459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51.56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6.61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11.39</v>
      </c>
      <c r="AU2" t="s">
        <v>3</v>
      </c>
      <c r="AV2">
        <v>1</v>
      </c>
      <c r="AW2">
        <v>2</v>
      </c>
      <c r="AX2">
        <v>39617373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Y2*Source!I29</f>
        <v>13.73634</v>
      </c>
      <c r="CY2">
        <f>AD2</f>
        <v>51.56</v>
      </c>
      <c r="CZ2">
        <f>AH2</f>
        <v>7.8</v>
      </c>
      <c r="DA2">
        <f>AL2</f>
        <v>6.61</v>
      </c>
      <c r="DB2">
        <v>0</v>
      </c>
    </row>
    <row r="3" spans="1:106" x14ac:dyDescent="0.2">
      <c r="A3">
        <f>ROW(Source!A29)</f>
        <v>29</v>
      </c>
      <c r="B3">
        <v>39616881</v>
      </c>
      <c r="C3">
        <v>39617341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460</v>
      </c>
      <c r="J3" t="s">
        <v>3</v>
      </c>
      <c r="K3" t="s">
        <v>461</v>
      </c>
      <c r="L3">
        <v>1191</v>
      </c>
      <c r="N3">
        <v>1013</v>
      </c>
      <c r="O3" t="s">
        <v>459</v>
      </c>
      <c r="P3" t="s">
        <v>459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6.61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0.13</v>
      </c>
      <c r="AU3" t="s">
        <v>3</v>
      </c>
      <c r="AV3">
        <v>2</v>
      </c>
      <c r="AW3">
        <v>2</v>
      </c>
      <c r="AX3">
        <v>39617374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Y3*Source!I29</f>
        <v>0.15678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ROW(Source!A29)</f>
        <v>29</v>
      </c>
      <c r="B4">
        <v>39616881</v>
      </c>
      <c r="C4">
        <v>39617341</v>
      </c>
      <c r="D4">
        <v>36882452</v>
      </c>
      <c r="E4">
        <v>1</v>
      </c>
      <c r="F4">
        <v>1</v>
      </c>
      <c r="G4">
        <v>1</v>
      </c>
      <c r="H4">
        <v>2</v>
      </c>
      <c r="I4" t="s">
        <v>462</v>
      </c>
      <c r="J4" t="s">
        <v>463</v>
      </c>
      <c r="K4" t="s">
        <v>464</v>
      </c>
      <c r="L4">
        <v>1368</v>
      </c>
      <c r="N4">
        <v>1011</v>
      </c>
      <c r="O4" t="s">
        <v>465</v>
      </c>
      <c r="P4" t="s">
        <v>465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206.63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6.61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0.13</v>
      </c>
      <c r="AU4" t="s">
        <v>3</v>
      </c>
      <c r="AV4">
        <v>0</v>
      </c>
      <c r="AW4">
        <v>2</v>
      </c>
      <c r="AX4">
        <v>39617375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0.15678</v>
      </c>
      <c r="CY4">
        <f>AB4</f>
        <v>206.63</v>
      </c>
      <c r="CZ4">
        <f>AF4</f>
        <v>31.26</v>
      </c>
      <c r="DA4">
        <f>AJ4</f>
        <v>6.61</v>
      </c>
      <c r="DB4">
        <v>0</v>
      </c>
    </row>
    <row r="5" spans="1:106" x14ac:dyDescent="0.2">
      <c r="A5">
        <f>ROW(Source!A30)</f>
        <v>30</v>
      </c>
      <c r="B5">
        <v>39616881</v>
      </c>
      <c r="C5">
        <v>39617342</v>
      </c>
      <c r="D5">
        <v>37064878</v>
      </c>
      <c r="E5">
        <v>1</v>
      </c>
      <c r="F5">
        <v>1</v>
      </c>
      <c r="G5">
        <v>1</v>
      </c>
      <c r="H5">
        <v>1</v>
      </c>
      <c r="I5" t="s">
        <v>466</v>
      </c>
      <c r="J5" t="s">
        <v>3</v>
      </c>
      <c r="K5" t="s">
        <v>467</v>
      </c>
      <c r="L5">
        <v>1191</v>
      </c>
      <c r="N5">
        <v>1013</v>
      </c>
      <c r="O5" t="s">
        <v>459</v>
      </c>
      <c r="P5" t="s">
        <v>459</v>
      </c>
      <c r="Q5">
        <v>1</v>
      </c>
      <c r="W5">
        <v>0</v>
      </c>
      <c r="X5">
        <v>-1081351934</v>
      </c>
      <c r="Y5">
        <v>117.82899999999998</v>
      </c>
      <c r="AA5">
        <v>0</v>
      </c>
      <c r="AB5">
        <v>0</v>
      </c>
      <c r="AC5">
        <v>0</v>
      </c>
      <c r="AD5">
        <v>62.13</v>
      </c>
      <c r="AE5">
        <v>0</v>
      </c>
      <c r="AF5">
        <v>0</v>
      </c>
      <c r="AG5">
        <v>0</v>
      </c>
      <c r="AH5">
        <v>9.4</v>
      </c>
      <c r="AI5">
        <v>1</v>
      </c>
      <c r="AJ5">
        <v>1</v>
      </c>
      <c r="AK5">
        <v>1</v>
      </c>
      <c r="AL5">
        <v>6.61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102.46</v>
      </c>
      <c r="AU5" t="s">
        <v>33</v>
      </c>
      <c r="AV5">
        <v>1</v>
      </c>
      <c r="AW5">
        <v>2</v>
      </c>
      <c r="AX5">
        <v>39617378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Y5*Source!I30</f>
        <v>142.10177399999998</v>
      </c>
      <c r="CY5">
        <f>AD5</f>
        <v>62.13</v>
      </c>
      <c r="CZ5">
        <f>AH5</f>
        <v>9.4</v>
      </c>
      <c r="DA5">
        <f>AL5</f>
        <v>6.61</v>
      </c>
      <c r="DB5">
        <v>0</v>
      </c>
    </row>
    <row r="6" spans="1:106" x14ac:dyDescent="0.2">
      <c r="A6">
        <f>ROW(Source!A30)</f>
        <v>30</v>
      </c>
      <c r="B6">
        <v>39616881</v>
      </c>
      <c r="C6">
        <v>39617342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460</v>
      </c>
      <c r="J6" t="s">
        <v>3</v>
      </c>
      <c r="K6" t="s">
        <v>461</v>
      </c>
      <c r="L6">
        <v>1191</v>
      </c>
      <c r="N6">
        <v>1013</v>
      </c>
      <c r="O6" t="s">
        <v>459</v>
      </c>
      <c r="P6" t="s">
        <v>459</v>
      </c>
      <c r="Q6">
        <v>1</v>
      </c>
      <c r="W6">
        <v>0</v>
      </c>
      <c r="X6">
        <v>-1417349443</v>
      </c>
      <c r="Y6">
        <v>5.34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6.61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5.34</v>
      </c>
      <c r="AU6" t="s">
        <v>3</v>
      </c>
      <c r="AV6">
        <v>2</v>
      </c>
      <c r="AW6">
        <v>2</v>
      </c>
      <c r="AX6">
        <v>39617379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Y6*Source!I30</f>
        <v>6.4400399999999998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ROW(Source!A30)</f>
        <v>30</v>
      </c>
      <c r="B7">
        <v>39616881</v>
      </c>
      <c r="C7">
        <v>39617342</v>
      </c>
      <c r="D7">
        <v>36882452</v>
      </c>
      <c r="E7">
        <v>1</v>
      </c>
      <c r="F7">
        <v>1</v>
      </c>
      <c r="G7">
        <v>1</v>
      </c>
      <c r="H7">
        <v>2</v>
      </c>
      <c r="I7" t="s">
        <v>462</v>
      </c>
      <c r="J7" t="s">
        <v>463</v>
      </c>
      <c r="K7" t="s">
        <v>464</v>
      </c>
      <c r="L7">
        <v>1368</v>
      </c>
      <c r="N7">
        <v>1011</v>
      </c>
      <c r="O7" t="s">
        <v>465</v>
      </c>
      <c r="P7" t="s">
        <v>465</v>
      </c>
      <c r="Q7">
        <v>1</v>
      </c>
      <c r="W7">
        <v>0</v>
      </c>
      <c r="X7">
        <v>1188625873</v>
      </c>
      <c r="Y7">
        <v>0.95</v>
      </c>
      <c r="AA7">
        <v>0</v>
      </c>
      <c r="AB7">
        <v>206.63</v>
      </c>
      <c r="AC7">
        <v>13.5</v>
      </c>
      <c r="AD7">
        <v>0</v>
      </c>
      <c r="AE7">
        <v>0</v>
      </c>
      <c r="AF7">
        <v>31.26</v>
      </c>
      <c r="AG7">
        <v>13.5</v>
      </c>
      <c r="AH7">
        <v>0</v>
      </c>
      <c r="AI7">
        <v>1</v>
      </c>
      <c r="AJ7">
        <v>6.61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0.76</v>
      </c>
      <c r="AU7" t="s">
        <v>32</v>
      </c>
      <c r="AV7">
        <v>0</v>
      </c>
      <c r="AW7">
        <v>2</v>
      </c>
      <c r="AX7">
        <v>39617380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1.1456999999999999</v>
      </c>
      <c r="CY7">
        <f>AB7</f>
        <v>206.63</v>
      </c>
      <c r="CZ7">
        <f>AF7</f>
        <v>31.26</v>
      </c>
      <c r="DA7">
        <f>AJ7</f>
        <v>6.61</v>
      </c>
      <c r="DB7">
        <v>0</v>
      </c>
    </row>
    <row r="8" spans="1:106" x14ac:dyDescent="0.2">
      <c r="A8">
        <f>ROW(Source!A30)</f>
        <v>30</v>
      </c>
      <c r="B8">
        <v>39616881</v>
      </c>
      <c r="C8">
        <v>39617342</v>
      </c>
      <c r="D8">
        <v>36883554</v>
      </c>
      <c r="E8">
        <v>1</v>
      </c>
      <c r="F8">
        <v>1</v>
      </c>
      <c r="G8">
        <v>1</v>
      </c>
      <c r="H8">
        <v>2</v>
      </c>
      <c r="I8" t="s">
        <v>468</v>
      </c>
      <c r="J8" t="s">
        <v>469</v>
      </c>
      <c r="K8" t="s">
        <v>470</v>
      </c>
      <c r="L8">
        <v>1368</v>
      </c>
      <c r="N8">
        <v>1011</v>
      </c>
      <c r="O8" t="s">
        <v>465</v>
      </c>
      <c r="P8" t="s">
        <v>465</v>
      </c>
      <c r="Q8">
        <v>1</v>
      </c>
      <c r="W8">
        <v>0</v>
      </c>
      <c r="X8">
        <v>1372534845</v>
      </c>
      <c r="Y8">
        <v>5.7249999999999996</v>
      </c>
      <c r="AA8">
        <v>0</v>
      </c>
      <c r="AB8">
        <v>434.34</v>
      </c>
      <c r="AC8">
        <v>11.6</v>
      </c>
      <c r="AD8">
        <v>0</v>
      </c>
      <c r="AE8">
        <v>0</v>
      </c>
      <c r="AF8">
        <v>65.709999999999994</v>
      </c>
      <c r="AG8">
        <v>11.6</v>
      </c>
      <c r="AH8">
        <v>0</v>
      </c>
      <c r="AI8">
        <v>1</v>
      </c>
      <c r="AJ8">
        <v>6.61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4.58</v>
      </c>
      <c r="AU8" t="s">
        <v>32</v>
      </c>
      <c r="AV8">
        <v>0</v>
      </c>
      <c r="AW8">
        <v>2</v>
      </c>
      <c r="AX8">
        <v>39617381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6.9043499999999991</v>
      </c>
      <c r="CY8">
        <f>AB8</f>
        <v>434.34</v>
      </c>
      <c r="CZ8">
        <f>AF8</f>
        <v>65.709999999999994</v>
      </c>
      <c r="DA8">
        <f>AJ8</f>
        <v>6.61</v>
      </c>
      <c r="DB8">
        <v>0</v>
      </c>
    </row>
    <row r="9" spans="1:106" x14ac:dyDescent="0.2">
      <c r="A9">
        <f>ROW(Source!A30)</f>
        <v>30</v>
      </c>
      <c r="B9">
        <v>39616881</v>
      </c>
      <c r="C9">
        <v>39617342</v>
      </c>
      <c r="D9">
        <v>36801649</v>
      </c>
      <c r="E9">
        <v>1</v>
      </c>
      <c r="F9">
        <v>1</v>
      </c>
      <c r="G9">
        <v>1</v>
      </c>
      <c r="H9">
        <v>3</v>
      </c>
      <c r="I9" t="s">
        <v>471</v>
      </c>
      <c r="J9" t="s">
        <v>472</v>
      </c>
      <c r="K9" t="s">
        <v>473</v>
      </c>
      <c r="L9">
        <v>1327</v>
      </c>
      <c r="N9">
        <v>1005</v>
      </c>
      <c r="O9" t="s">
        <v>67</v>
      </c>
      <c r="P9" t="s">
        <v>67</v>
      </c>
      <c r="Q9">
        <v>1</v>
      </c>
      <c r="W9">
        <v>0</v>
      </c>
      <c r="X9">
        <v>1385600515</v>
      </c>
      <c r="Y9">
        <v>103</v>
      </c>
      <c r="AA9">
        <v>342.4</v>
      </c>
      <c r="AB9">
        <v>0</v>
      </c>
      <c r="AC9">
        <v>0</v>
      </c>
      <c r="AD9">
        <v>0</v>
      </c>
      <c r="AE9">
        <v>51.8</v>
      </c>
      <c r="AF9">
        <v>0</v>
      </c>
      <c r="AG9">
        <v>0</v>
      </c>
      <c r="AH9">
        <v>0</v>
      </c>
      <c r="AI9">
        <v>6.61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103</v>
      </c>
      <c r="AU9" t="s">
        <v>3</v>
      </c>
      <c r="AV9">
        <v>0</v>
      </c>
      <c r="AW9">
        <v>2</v>
      </c>
      <c r="AX9">
        <v>39617382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124.21799999999999</v>
      </c>
      <c r="CY9">
        <f>AA9</f>
        <v>342.4</v>
      </c>
      <c r="CZ9">
        <f>AE9</f>
        <v>51.8</v>
      </c>
      <c r="DA9">
        <f>AI9</f>
        <v>6.61</v>
      </c>
      <c r="DB9">
        <v>0</v>
      </c>
    </row>
    <row r="10" spans="1:106" x14ac:dyDescent="0.2">
      <c r="A10">
        <f>ROW(Source!A31)</f>
        <v>31</v>
      </c>
      <c r="B10">
        <v>39616881</v>
      </c>
      <c r="C10">
        <v>39617343</v>
      </c>
      <c r="D10">
        <v>37065248</v>
      </c>
      <c r="E10">
        <v>1</v>
      </c>
      <c r="F10">
        <v>1</v>
      </c>
      <c r="G10">
        <v>1</v>
      </c>
      <c r="H10">
        <v>1</v>
      </c>
      <c r="I10" t="s">
        <v>474</v>
      </c>
      <c r="J10" t="s">
        <v>3</v>
      </c>
      <c r="K10" t="s">
        <v>475</v>
      </c>
      <c r="L10">
        <v>1191</v>
      </c>
      <c r="N10">
        <v>1013</v>
      </c>
      <c r="O10" t="s">
        <v>459</v>
      </c>
      <c r="P10" t="s">
        <v>459</v>
      </c>
      <c r="Q10">
        <v>1</v>
      </c>
      <c r="W10">
        <v>0</v>
      </c>
      <c r="X10">
        <v>-400197608</v>
      </c>
      <c r="Y10">
        <v>46.19</v>
      </c>
      <c r="AA10">
        <v>0</v>
      </c>
      <c r="AB10">
        <v>0</v>
      </c>
      <c r="AC10">
        <v>0</v>
      </c>
      <c r="AD10">
        <v>56.38</v>
      </c>
      <c r="AE10">
        <v>0</v>
      </c>
      <c r="AF10">
        <v>0</v>
      </c>
      <c r="AG10">
        <v>0</v>
      </c>
      <c r="AH10">
        <v>8.5299999999999994</v>
      </c>
      <c r="AI10">
        <v>1</v>
      </c>
      <c r="AJ10">
        <v>1</v>
      </c>
      <c r="AK10">
        <v>1</v>
      </c>
      <c r="AL10">
        <v>6.61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46.19</v>
      </c>
      <c r="AU10" t="s">
        <v>3</v>
      </c>
      <c r="AV10">
        <v>1</v>
      </c>
      <c r="AW10">
        <v>2</v>
      </c>
      <c r="AX10">
        <v>39617383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2.7713999999999999</v>
      </c>
      <c r="CY10">
        <f>AD10</f>
        <v>56.38</v>
      </c>
      <c r="CZ10">
        <f>AH10</f>
        <v>8.5299999999999994</v>
      </c>
      <c r="DA10">
        <f>AL10</f>
        <v>6.61</v>
      </c>
      <c r="DB10">
        <v>0</v>
      </c>
    </row>
    <row r="11" spans="1:106" x14ac:dyDescent="0.2">
      <c r="A11">
        <f>ROW(Source!A31)</f>
        <v>31</v>
      </c>
      <c r="B11">
        <v>39616881</v>
      </c>
      <c r="C11">
        <v>39617343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460</v>
      </c>
      <c r="J11" t="s">
        <v>3</v>
      </c>
      <c r="K11" t="s">
        <v>461</v>
      </c>
      <c r="L11">
        <v>1191</v>
      </c>
      <c r="N11">
        <v>1013</v>
      </c>
      <c r="O11" t="s">
        <v>459</v>
      </c>
      <c r="P11" t="s">
        <v>459</v>
      </c>
      <c r="Q11">
        <v>1</v>
      </c>
      <c r="W11">
        <v>0</v>
      </c>
      <c r="X11">
        <v>-1417349443</v>
      </c>
      <c r="Y11">
        <v>0.01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6.61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0.01</v>
      </c>
      <c r="AU11" t="s">
        <v>3</v>
      </c>
      <c r="AV11">
        <v>2</v>
      </c>
      <c r="AW11">
        <v>2</v>
      </c>
      <c r="AX11">
        <v>39617384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5.9999999999999995E-4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">
      <c r="A12">
        <f>ROW(Source!A31)</f>
        <v>31</v>
      </c>
      <c r="B12">
        <v>39616881</v>
      </c>
      <c r="C12">
        <v>39617343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462</v>
      </c>
      <c r="J12" t="s">
        <v>463</v>
      </c>
      <c r="K12" t="s">
        <v>464</v>
      </c>
      <c r="L12">
        <v>1368</v>
      </c>
      <c r="N12">
        <v>1011</v>
      </c>
      <c r="O12" t="s">
        <v>465</v>
      </c>
      <c r="P12" t="s">
        <v>465</v>
      </c>
      <c r="Q12">
        <v>1</v>
      </c>
      <c r="W12">
        <v>0</v>
      </c>
      <c r="X12">
        <v>1188625873</v>
      </c>
      <c r="Y12">
        <v>0.01</v>
      </c>
      <c r="AA12">
        <v>0</v>
      </c>
      <c r="AB12">
        <v>206.63</v>
      </c>
      <c r="AC12">
        <v>13.5</v>
      </c>
      <c r="AD12">
        <v>0</v>
      </c>
      <c r="AE12">
        <v>0</v>
      </c>
      <c r="AF12">
        <v>31.26</v>
      </c>
      <c r="AG12">
        <v>13.5</v>
      </c>
      <c r="AH12">
        <v>0</v>
      </c>
      <c r="AI12">
        <v>1</v>
      </c>
      <c r="AJ12">
        <v>6.61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0.01</v>
      </c>
      <c r="AU12" t="s">
        <v>3</v>
      </c>
      <c r="AV12">
        <v>0</v>
      </c>
      <c r="AW12">
        <v>2</v>
      </c>
      <c r="AX12">
        <v>39617385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5.9999999999999995E-4</v>
      </c>
      <c r="CY12">
        <f>AB12</f>
        <v>206.63</v>
      </c>
      <c r="CZ12">
        <f>AF12</f>
        <v>31.26</v>
      </c>
      <c r="DA12">
        <f>AJ12</f>
        <v>6.61</v>
      </c>
      <c r="DB12">
        <v>0</v>
      </c>
    </row>
    <row r="13" spans="1:106" x14ac:dyDescent="0.2">
      <c r="A13">
        <f>ROW(Source!A31)</f>
        <v>31</v>
      </c>
      <c r="B13">
        <v>39616881</v>
      </c>
      <c r="C13">
        <v>39617343</v>
      </c>
      <c r="D13">
        <v>36801792</v>
      </c>
      <c r="E13">
        <v>1</v>
      </c>
      <c r="F13">
        <v>1</v>
      </c>
      <c r="G13">
        <v>1</v>
      </c>
      <c r="H13">
        <v>3</v>
      </c>
      <c r="I13" t="s">
        <v>476</v>
      </c>
      <c r="J13" t="s">
        <v>477</v>
      </c>
      <c r="K13" t="s">
        <v>478</v>
      </c>
      <c r="L13">
        <v>1339</v>
      </c>
      <c r="N13">
        <v>1007</v>
      </c>
      <c r="O13" t="s">
        <v>119</v>
      </c>
      <c r="P13" t="s">
        <v>119</v>
      </c>
      <c r="Q13">
        <v>1</v>
      </c>
      <c r="W13">
        <v>0</v>
      </c>
      <c r="X13">
        <v>-1660354250</v>
      </c>
      <c r="Y13">
        <v>0.02</v>
      </c>
      <c r="AA13">
        <v>16.13</v>
      </c>
      <c r="AB13">
        <v>0</v>
      </c>
      <c r="AC13">
        <v>0</v>
      </c>
      <c r="AD13">
        <v>0</v>
      </c>
      <c r="AE13">
        <v>2.44</v>
      </c>
      <c r="AF13">
        <v>0</v>
      </c>
      <c r="AG13">
        <v>0</v>
      </c>
      <c r="AH13">
        <v>0</v>
      </c>
      <c r="AI13">
        <v>6.61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0.02</v>
      </c>
      <c r="AU13" t="s">
        <v>3</v>
      </c>
      <c r="AV13">
        <v>0</v>
      </c>
      <c r="AW13">
        <v>2</v>
      </c>
      <c r="AX13">
        <v>39617386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1.1999999999999999E-3</v>
      </c>
      <c r="CY13">
        <f>AA13</f>
        <v>16.13</v>
      </c>
      <c r="CZ13">
        <f>AE13</f>
        <v>2.44</v>
      </c>
      <c r="DA13">
        <f>AI13</f>
        <v>6.61</v>
      </c>
      <c r="DB13">
        <v>0</v>
      </c>
    </row>
    <row r="14" spans="1:106" x14ac:dyDescent="0.2">
      <c r="A14">
        <f>ROW(Source!A31)</f>
        <v>31</v>
      </c>
      <c r="B14">
        <v>39616881</v>
      </c>
      <c r="C14">
        <v>39617343</v>
      </c>
      <c r="D14">
        <v>36806488</v>
      </c>
      <c r="E14">
        <v>1</v>
      </c>
      <c r="F14">
        <v>1</v>
      </c>
      <c r="G14">
        <v>1</v>
      </c>
      <c r="H14">
        <v>3</v>
      </c>
      <c r="I14" t="s">
        <v>479</v>
      </c>
      <c r="J14" t="s">
        <v>480</v>
      </c>
      <c r="K14" t="s">
        <v>481</v>
      </c>
      <c r="L14">
        <v>1348</v>
      </c>
      <c r="N14">
        <v>1009</v>
      </c>
      <c r="O14" t="s">
        <v>72</v>
      </c>
      <c r="P14" t="s">
        <v>72</v>
      </c>
      <c r="Q14">
        <v>1000</v>
      </c>
      <c r="W14">
        <v>0</v>
      </c>
      <c r="X14">
        <v>-1421715385</v>
      </c>
      <c r="Y14">
        <v>0.05</v>
      </c>
      <c r="AA14">
        <v>4825.17</v>
      </c>
      <c r="AB14">
        <v>0</v>
      </c>
      <c r="AC14">
        <v>0</v>
      </c>
      <c r="AD14">
        <v>0</v>
      </c>
      <c r="AE14">
        <v>729.98</v>
      </c>
      <c r="AF14">
        <v>0</v>
      </c>
      <c r="AG14">
        <v>0</v>
      </c>
      <c r="AH14">
        <v>0</v>
      </c>
      <c r="AI14">
        <v>6.61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0.05</v>
      </c>
      <c r="AU14" t="s">
        <v>3</v>
      </c>
      <c r="AV14">
        <v>0</v>
      </c>
      <c r="AW14">
        <v>2</v>
      </c>
      <c r="AX14">
        <v>39617388</v>
      </c>
      <c r="AY14">
        <v>1</v>
      </c>
      <c r="AZ14">
        <v>0</v>
      </c>
      <c r="BA14">
        <v>17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3.0000000000000001E-3</v>
      </c>
      <c r="CY14">
        <f>AA14</f>
        <v>4825.17</v>
      </c>
      <c r="CZ14">
        <f>AE14</f>
        <v>729.98</v>
      </c>
      <c r="DA14">
        <f>AI14</f>
        <v>6.61</v>
      </c>
      <c r="DB14">
        <v>0</v>
      </c>
    </row>
    <row r="15" spans="1:106" x14ac:dyDescent="0.2">
      <c r="A15">
        <f>ROW(Source!A31)</f>
        <v>31</v>
      </c>
      <c r="B15">
        <v>39616881</v>
      </c>
      <c r="C15">
        <v>39617343</v>
      </c>
      <c r="D15">
        <v>36849893</v>
      </c>
      <c r="E15">
        <v>1</v>
      </c>
      <c r="F15">
        <v>1</v>
      </c>
      <c r="G15">
        <v>1</v>
      </c>
      <c r="H15">
        <v>3</v>
      </c>
      <c r="I15" t="s">
        <v>48</v>
      </c>
      <c r="J15" t="s">
        <v>51</v>
      </c>
      <c r="K15" t="s">
        <v>49</v>
      </c>
      <c r="L15">
        <v>1354</v>
      </c>
      <c r="N15">
        <v>1010</v>
      </c>
      <c r="O15" t="s">
        <v>50</v>
      </c>
      <c r="P15" t="s">
        <v>50</v>
      </c>
      <c r="Q15">
        <v>1</v>
      </c>
      <c r="W15">
        <v>0</v>
      </c>
      <c r="X15">
        <v>1373721848</v>
      </c>
      <c r="Y15">
        <v>100</v>
      </c>
      <c r="AA15">
        <v>123.41</v>
      </c>
      <c r="AB15">
        <v>0</v>
      </c>
      <c r="AC15">
        <v>0</v>
      </c>
      <c r="AD15">
        <v>0</v>
      </c>
      <c r="AE15">
        <v>18.670000000000002</v>
      </c>
      <c r="AF15">
        <v>0</v>
      </c>
      <c r="AG15">
        <v>0</v>
      </c>
      <c r="AH15">
        <v>0</v>
      </c>
      <c r="AI15">
        <v>6.61</v>
      </c>
      <c r="AJ15">
        <v>1</v>
      </c>
      <c r="AK15">
        <v>1</v>
      </c>
      <c r="AL15">
        <v>1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3</v>
      </c>
      <c r="AT15">
        <v>100</v>
      </c>
      <c r="AU15" t="s">
        <v>3</v>
      </c>
      <c r="AV15">
        <v>0</v>
      </c>
      <c r="AW15">
        <v>1</v>
      </c>
      <c r="AX15">
        <v>-1</v>
      </c>
      <c r="AY15">
        <v>0</v>
      </c>
      <c r="AZ15">
        <v>0</v>
      </c>
      <c r="BA15" t="s">
        <v>3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6</v>
      </c>
      <c r="CY15">
        <f>AA15</f>
        <v>123.41</v>
      </c>
      <c r="CZ15">
        <f>AE15</f>
        <v>18.670000000000002</v>
      </c>
      <c r="DA15">
        <f>AI15</f>
        <v>6.61</v>
      </c>
      <c r="DB15">
        <v>0</v>
      </c>
    </row>
    <row r="16" spans="1:106" x14ac:dyDescent="0.2">
      <c r="A16">
        <f>ROW(Source!A31)</f>
        <v>31</v>
      </c>
      <c r="B16">
        <v>39616881</v>
      </c>
      <c r="C16">
        <v>39617343</v>
      </c>
      <c r="D16">
        <v>36797832</v>
      </c>
      <c r="E16">
        <v>17</v>
      </c>
      <c r="F16">
        <v>1</v>
      </c>
      <c r="G16">
        <v>1</v>
      </c>
      <c r="H16">
        <v>3</v>
      </c>
      <c r="I16" t="s">
        <v>53</v>
      </c>
      <c r="J16" t="s">
        <v>3</v>
      </c>
      <c r="K16" t="s">
        <v>54</v>
      </c>
      <c r="L16">
        <v>1354</v>
      </c>
      <c r="N16">
        <v>1010</v>
      </c>
      <c r="O16" t="s">
        <v>50</v>
      </c>
      <c r="P16" t="s">
        <v>50</v>
      </c>
      <c r="Q16">
        <v>1</v>
      </c>
      <c r="W16">
        <v>0</v>
      </c>
      <c r="X16">
        <v>-698526538</v>
      </c>
      <c r="Y16">
        <v>100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6.61</v>
      </c>
      <c r="AJ16">
        <v>1</v>
      </c>
      <c r="AK16">
        <v>1</v>
      </c>
      <c r="AL16">
        <v>1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3</v>
      </c>
      <c r="AT16">
        <v>100</v>
      </c>
      <c r="AU16" t="s">
        <v>3</v>
      </c>
      <c r="AV16">
        <v>0</v>
      </c>
      <c r="AW16">
        <v>2</v>
      </c>
      <c r="AX16">
        <v>39617389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6</v>
      </c>
      <c r="CY16">
        <f>AA16</f>
        <v>0</v>
      </c>
      <c r="CZ16">
        <f>AE16</f>
        <v>0</v>
      </c>
      <c r="DA16">
        <f>AI16</f>
        <v>6.61</v>
      </c>
      <c r="DB16">
        <v>0</v>
      </c>
    </row>
    <row r="17" spans="1:106" x14ac:dyDescent="0.2">
      <c r="A17">
        <f>ROW(Source!A34)</f>
        <v>34</v>
      </c>
      <c r="B17">
        <v>39616881</v>
      </c>
      <c r="C17">
        <v>39617395</v>
      </c>
      <c r="D17">
        <v>37066837</v>
      </c>
      <c r="E17">
        <v>1</v>
      </c>
      <c r="F17">
        <v>1</v>
      </c>
      <c r="G17">
        <v>1</v>
      </c>
      <c r="H17">
        <v>1</v>
      </c>
      <c r="I17" t="s">
        <v>482</v>
      </c>
      <c r="J17" t="s">
        <v>3</v>
      </c>
      <c r="K17" t="s">
        <v>483</v>
      </c>
      <c r="L17">
        <v>1191</v>
      </c>
      <c r="N17">
        <v>1013</v>
      </c>
      <c r="O17" t="s">
        <v>459</v>
      </c>
      <c r="P17" t="s">
        <v>459</v>
      </c>
      <c r="Q17">
        <v>1</v>
      </c>
      <c r="W17">
        <v>0</v>
      </c>
      <c r="X17">
        <v>1850719656</v>
      </c>
      <c r="Y17">
        <v>38.119999999999997</v>
      </c>
      <c r="AA17">
        <v>0</v>
      </c>
      <c r="AB17">
        <v>0</v>
      </c>
      <c r="AC17">
        <v>0</v>
      </c>
      <c r="AD17">
        <v>54.93</v>
      </c>
      <c r="AE17">
        <v>0</v>
      </c>
      <c r="AF17">
        <v>0</v>
      </c>
      <c r="AG17">
        <v>0</v>
      </c>
      <c r="AH17">
        <v>8.31</v>
      </c>
      <c r="AI17">
        <v>1</v>
      </c>
      <c r="AJ17">
        <v>1</v>
      </c>
      <c r="AK17">
        <v>1</v>
      </c>
      <c r="AL17">
        <v>6.61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38.119999999999997</v>
      </c>
      <c r="AU17" t="s">
        <v>3</v>
      </c>
      <c r="AV17">
        <v>1</v>
      </c>
      <c r="AW17">
        <v>2</v>
      </c>
      <c r="AX17">
        <v>39617396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45.972719999999995</v>
      </c>
      <c r="CY17">
        <f>AD17</f>
        <v>54.93</v>
      </c>
      <c r="CZ17">
        <f>AH17</f>
        <v>8.31</v>
      </c>
      <c r="DA17">
        <f>AL17</f>
        <v>6.61</v>
      </c>
      <c r="DB17">
        <v>0</v>
      </c>
    </row>
    <row r="18" spans="1:106" x14ac:dyDescent="0.2">
      <c r="A18">
        <f>ROW(Source!A34)</f>
        <v>34</v>
      </c>
      <c r="B18">
        <v>39616881</v>
      </c>
      <c r="C18">
        <v>39617395</v>
      </c>
      <c r="D18">
        <v>37064876</v>
      </c>
      <c r="E18">
        <v>1</v>
      </c>
      <c r="F18">
        <v>1</v>
      </c>
      <c r="G18">
        <v>1</v>
      </c>
      <c r="H18">
        <v>1</v>
      </c>
      <c r="I18" t="s">
        <v>460</v>
      </c>
      <c r="J18" t="s">
        <v>3</v>
      </c>
      <c r="K18" t="s">
        <v>461</v>
      </c>
      <c r="L18">
        <v>1191</v>
      </c>
      <c r="N18">
        <v>1013</v>
      </c>
      <c r="O18" t="s">
        <v>459</v>
      </c>
      <c r="P18" t="s">
        <v>459</v>
      </c>
      <c r="Q18">
        <v>1</v>
      </c>
      <c r="W18">
        <v>0</v>
      </c>
      <c r="X18">
        <v>-1417349443</v>
      </c>
      <c r="Y18">
        <v>0.18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6.61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0.18</v>
      </c>
      <c r="AU18" t="s">
        <v>3</v>
      </c>
      <c r="AV18">
        <v>2</v>
      </c>
      <c r="AW18">
        <v>2</v>
      </c>
      <c r="AX18">
        <v>39617397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0.21708</v>
      </c>
      <c r="CY18">
        <f>AD18</f>
        <v>0</v>
      </c>
      <c r="CZ18">
        <f>AH18</f>
        <v>0</v>
      </c>
      <c r="DA18">
        <f>AL18</f>
        <v>1</v>
      </c>
      <c r="DB18">
        <v>0</v>
      </c>
    </row>
    <row r="19" spans="1:106" x14ac:dyDescent="0.2">
      <c r="A19">
        <f>ROW(Source!A34)</f>
        <v>34</v>
      </c>
      <c r="B19">
        <v>39616881</v>
      </c>
      <c r="C19">
        <v>39617395</v>
      </c>
      <c r="D19">
        <v>36882452</v>
      </c>
      <c r="E19">
        <v>1</v>
      </c>
      <c r="F19">
        <v>1</v>
      </c>
      <c r="G19">
        <v>1</v>
      </c>
      <c r="H19">
        <v>2</v>
      </c>
      <c r="I19" t="s">
        <v>462</v>
      </c>
      <c r="J19" t="s">
        <v>463</v>
      </c>
      <c r="K19" t="s">
        <v>464</v>
      </c>
      <c r="L19">
        <v>1368</v>
      </c>
      <c r="N19">
        <v>1011</v>
      </c>
      <c r="O19" t="s">
        <v>465</v>
      </c>
      <c r="P19" t="s">
        <v>465</v>
      </c>
      <c r="Q19">
        <v>1</v>
      </c>
      <c r="W19">
        <v>0</v>
      </c>
      <c r="X19">
        <v>1188625873</v>
      </c>
      <c r="Y19">
        <v>0.1</v>
      </c>
      <c r="AA19">
        <v>0</v>
      </c>
      <c r="AB19">
        <v>206.63</v>
      </c>
      <c r="AC19">
        <v>13.5</v>
      </c>
      <c r="AD19">
        <v>0</v>
      </c>
      <c r="AE19">
        <v>0</v>
      </c>
      <c r="AF19">
        <v>31.26</v>
      </c>
      <c r="AG19">
        <v>13.5</v>
      </c>
      <c r="AH19">
        <v>0</v>
      </c>
      <c r="AI19">
        <v>1</v>
      </c>
      <c r="AJ19">
        <v>6.61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0.1</v>
      </c>
      <c r="AU19" t="s">
        <v>3</v>
      </c>
      <c r="AV19">
        <v>0</v>
      </c>
      <c r="AW19">
        <v>2</v>
      </c>
      <c r="AX19">
        <v>39617398</v>
      </c>
      <c r="AY19">
        <v>1</v>
      </c>
      <c r="AZ19">
        <v>0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0.1206</v>
      </c>
      <c r="CY19">
        <f>AB19</f>
        <v>206.63</v>
      </c>
      <c r="CZ19">
        <f>AF19</f>
        <v>31.26</v>
      </c>
      <c r="DA19">
        <f>AJ19</f>
        <v>6.61</v>
      </c>
      <c r="DB19">
        <v>0</v>
      </c>
    </row>
    <row r="20" spans="1:106" x14ac:dyDescent="0.2">
      <c r="A20">
        <f>ROW(Source!A34)</f>
        <v>34</v>
      </c>
      <c r="B20">
        <v>39616881</v>
      </c>
      <c r="C20">
        <v>39617395</v>
      </c>
      <c r="D20">
        <v>36883554</v>
      </c>
      <c r="E20">
        <v>1</v>
      </c>
      <c r="F20">
        <v>1</v>
      </c>
      <c r="G20">
        <v>1</v>
      </c>
      <c r="H20">
        <v>2</v>
      </c>
      <c r="I20" t="s">
        <v>468</v>
      </c>
      <c r="J20" t="s">
        <v>469</v>
      </c>
      <c r="K20" t="s">
        <v>470</v>
      </c>
      <c r="L20">
        <v>1368</v>
      </c>
      <c r="N20">
        <v>1011</v>
      </c>
      <c r="O20" t="s">
        <v>465</v>
      </c>
      <c r="P20" t="s">
        <v>465</v>
      </c>
      <c r="Q20">
        <v>1</v>
      </c>
      <c r="W20">
        <v>0</v>
      </c>
      <c r="X20">
        <v>1372534845</v>
      </c>
      <c r="Y20">
        <v>0.08</v>
      </c>
      <c r="AA20">
        <v>0</v>
      </c>
      <c r="AB20">
        <v>434.34</v>
      </c>
      <c r="AC20">
        <v>11.6</v>
      </c>
      <c r="AD20">
        <v>0</v>
      </c>
      <c r="AE20">
        <v>0</v>
      </c>
      <c r="AF20">
        <v>65.709999999999994</v>
      </c>
      <c r="AG20">
        <v>11.6</v>
      </c>
      <c r="AH20">
        <v>0</v>
      </c>
      <c r="AI20">
        <v>1</v>
      </c>
      <c r="AJ20">
        <v>6.61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0.08</v>
      </c>
      <c r="AU20" t="s">
        <v>3</v>
      </c>
      <c r="AV20">
        <v>0</v>
      </c>
      <c r="AW20">
        <v>2</v>
      </c>
      <c r="AX20">
        <v>39617399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9.6479999999999996E-2</v>
      </c>
      <c r="CY20">
        <f>AB20</f>
        <v>434.34</v>
      </c>
      <c r="CZ20">
        <f>AF20</f>
        <v>65.709999999999994</v>
      </c>
      <c r="DA20">
        <f>AJ20</f>
        <v>6.61</v>
      </c>
      <c r="DB20">
        <v>0</v>
      </c>
    </row>
    <row r="21" spans="1:106" x14ac:dyDescent="0.2">
      <c r="A21">
        <f>ROW(Source!A34)</f>
        <v>34</v>
      </c>
      <c r="B21">
        <v>39616881</v>
      </c>
      <c r="C21">
        <v>39617395</v>
      </c>
      <c r="D21">
        <v>36831355</v>
      </c>
      <c r="E21">
        <v>1</v>
      </c>
      <c r="F21">
        <v>1</v>
      </c>
      <c r="G21">
        <v>1</v>
      </c>
      <c r="H21">
        <v>3</v>
      </c>
      <c r="I21" t="s">
        <v>484</v>
      </c>
      <c r="J21" t="s">
        <v>485</v>
      </c>
      <c r="K21" t="s">
        <v>486</v>
      </c>
      <c r="L21">
        <v>1328</v>
      </c>
      <c r="N21">
        <v>1005</v>
      </c>
      <c r="O21" t="s">
        <v>25</v>
      </c>
      <c r="P21" t="s">
        <v>25</v>
      </c>
      <c r="Q21">
        <v>100</v>
      </c>
      <c r="W21">
        <v>0</v>
      </c>
      <c r="X21">
        <v>841651630</v>
      </c>
      <c r="Y21">
        <v>1.02</v>
      </c>
      <c r="AA21">
        <v>15041.06</v>
      </c>
      <c r="AB21">
        <v>0</v>
      </c>
      <c r="AC21">
        <v>0</v>
      </c>
      <c r="AD21">
        <v>0</v>
      </c>
      <c r="AE21">
        <v>2275.5</v>
      </c>
      <c r="AF21">
        <v>0</v>
      </c>
      <c r="AG21">
        <v>0</v>
      </c>
      <c r="AH21">
        <v>0</v>
      </c>
      <c r="AI21">
        <v>6.61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1.02</v>
      </c>
      <c r="AU21" t="s">
        <v>3</v>
      </c>
      <c r="AV21">
        <v>0</v>
      </c>
      <c r="AW21">
        <v>2</v>
      </c>
      <c r="AX21">
        <v>39617400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1.2301199999999999</v>
      </c>
      <c r="CY21">
        <f>AA21</f>
        <v>15041.06</v>
      </c>
      <c r="CZ21">
        <f>AE21</f>
        <v>2275.5</v>
      </c>
      <c r="DA21">
        <f>AI21</f>
        <v>6.61</v>
      </c>
      <c r="DB21">
        <v>0</v>
      </c>
    </row>
    <row r="22" spans="1:106" x14ac:dyDescent="0.2">
      <c r="A22">
        <f>ROW(Source!A34)</f>
        <v>34</v>
      </c>
      <c r="B22">
        <v>39616881</v>
      </c>
      <c r="C22">
        <v>39617395</v>
      </c>
      <c r="D22">
        <v>36838898</v>
      </c>
      <c r="E22">
        <v>1</v>
      </c>
      <c r="F22">
        <v>1</v>
      </c>
      <c r="G22">
        <v>1</v>
      </c>
      <c r="H22">
        <v>3</v>
      </c>
      <c r="I22" t="s">
        <v>487</v>
      </c>
      <c r="J22" t="s">
        <v>488</v>
      </c>
      <c r="K22" t="s">
        <v>489</v>
      </c>
      <c r="L22">
        <v>1346</v>
      </c>
      <c r="N22">
        <v>1009</v>
      </c>
      <c r="O22" t="s">
        <v>77</v>
      </c>
      <c r="P22" t="s">
        <v>77</v>
      </c>
      <c r="Q22">
        <v>1</v>
      </c>
      <c r="W22">
        <v>0</v>
      </c>
      <c r="X22">
        <v>-593408865</v>
      </c>
      <c r="Y22">
        <v>133</v>
      </c>
      <c r="AA22">
        <v>55.26</v>
      </c>
      <c r="AB22">
        <v>0</v>
      </c>
      <c r="AC22">
        <v>0</v>
      </c>
      <c r="AD22">
        <v>0</v>
      </c>
      <c r="AE22">
        <v>8.36</v>
      </c>
      <c r="AF22">
        <v>0</v>
      </c>
      <c r="AG22">
        <v>0</v>
      </c>
      <c r="AH22">
        <v>0</v>
      </c>
      <c r="AI22">
        <v>6.61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133</v>
      </c>
      <c r="AU22" t="s">
        <v>3</v>
      </c>
      <c r="AV22">
        <v>0</v>
      </c>
      <c r="AW22">
        <v>2</v>
      </c>
      <c r="AX22">
        <v>39617401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160.398</v>
      </c>
      <c r="CY22">
        <f>AA22</f>
        <v>55.26</v>
      </c>
      <c r="CZ22">
        <f>AE22</f>
        <v>8.36</v>
      </c>
      <c r="DA22">
        <f>AI22</f>
        <v>6.61</v>
      </c>
      <c r="DB22">
        <v>0</v>
      </c>
    </row>
    <row r="23" spans="1:106" x14ac:dyDescent="0.2">
      <c r="A23">
        <f>ROW(Source!A35)</f>
        <v>35</v>
      </c>
      <c r="B23">
        <v>39616881</v>
      </c>
      <c r="C23">
        <v>39617490</v>
      </c>
      <c r="D23">
        <v>37066837</v>
      </c>
      <c r="E23">
        <v>1</v>
      </c>
      <c r="F23">
        <v>1</v>
      </c>
      <c r="G23">
        <v>1</v>
      </c>
      <c r="H23">
        <v>1</v>
      </c>
      <c r="I23" t="s">
        <v>482</v>
      </c>
      <c r="J23" t="s">
        <v>3</v>
      </c>
      <c r="K23" t="s">
        <v>483</v>
      </c>
      <c r="L23">
        <v>1191</v>
      </c>
      <c r="N23">
        <v>1013</v>
      </c>
      <c r="O23" t="s">
        <v>459</v>
      </c>
      <c r="P23" t="s">
        <v>459</v>
      </c>
      <c r="Q23">
        <v>1</v>
      </c>
      <c r="W23">
        <v>0</v>
      </c>
      <c r="X23">
        <v>1850719656</v>
      </c>
      <c r="Y23">
        <v>48.76</v>
      </c>
      <c r="AA23">
        <v>0</v>
      </c>
      <c r="AB23">
        <v>0</v>
      </c>
      <c r="AC23">
        <v>0</v>
      </c>
      <c r="AD23">
        <v>54.93</v>
      </c>
      <c r="AE23">
        <v>0</v>
      </c>
      <c r="AF23">
        <v>0</v>
      </c>
      <c r="AG23">
        <v>0</v>
      </c>
      <c r="AH23">
        <v>8.31</v>
      </c>
      <c r="AI23">
        <v>1</v>
      </c>
      <c r="AJ23">
        <v>1</v>
      </c>
      <c r="AK23">
        <v>1</v>
      </c>
      <c r="AL23">
        <v>6.61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42.4</v>
      </c>
      <c r="AU23" t="s">
        <v>33</v>
      </c>
      <c r="AV23">
        <v>1</v>
      </c>
      <c r="AW23">
        <v>2</v>
      </c>
      <c r="AX23">
        <v>39617491</v>
      </c>
      <c r="AY23">
        <v>1</v>
      </c>
      <c r="AZ23">
        <v>0</v>
      </c>
      <c r="BA23">
        <v>25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Y23*Source!I35</f>
        <v>58.804559999999995</v>
      </c>
      <c r="CY23">
        <f>AD23</f>
        <v>54.93</v>
      </c>
      <c r="CZ23">
        <f>AH23</f>
        <v>8.31</v>
      </c>
      <c r="DA23">
        <f>AL23</f>
        <v>6.61</v>
      </c>
      <c r="DB23">
        <v>0</v>
      </c>
    </row>
    <row r="24" spans="1:106" x14ac:dyDescent="0.2">
      <c r="A24">
        <f>ROW(Source!A35)</f>
        <v>35</v>
      </c>
      <c r="B24">
        <v>39616881</v>
      </c>
      <c r="C24">
        <v>39617490</v>
      </c>
      <c r="D24">
        <v>37064876</v>
      </c>
      <c r="E24">
        <v>1</v>
      </c>
      <c r="F24">
        <v>1</v>
      </c>
      <c r="G24">
        <v>1</v>
      </c>
      <c r="H24">
        <v>1</v>
      </c>
      <c r="I24" t="s">
        <v>460</v>
      </c>
      <c r="J24" t="s">
        <v>3</v>
      </c>
      <c r="K24" t="s">
        <v>461</v>
      </c>
      <c r="L24">
        <v>1191</v>
      </c>
      <c r="N24">
        <v>1013</v>
      </c>
      <c r="O24" t="s">
        <v>459</v>
      </c>
      <c r="P24" t="s">
        <v>459</v>
      </c>
      <c r="Q24">
        <v>1</v>
      </c>
      <c r="W24">
        <v>0</v>
      </c>
      <c r="X24">
        <v>-1417349443</v>
      </c>
      <c r="Y24">
        <v>0.85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6.61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0.85</v>
      </c>
      <c r="AU24" t="s">
        <v>3</v>
      </c>
      <c r="AV24">
        <v>2</v>
      </c>
      <c r="AW24">
        <v>2</v>
      </c>
      <c r="AX24">
        <v>39617492</v>
      </c>
      <c r="AY24">
        <v>1</v>
      </c>
      <c r="AZ24">
        <v>2048</v>
      </c>
      <c r="BA24">
        <v>26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1.0250999999999999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ROW(Source!A35)</f>
        <v>35</v>
      </c>
      <c r="B25">
        <v>39616881</v>
      </c>
      <c r="C25">
        <v>39617490</v>
      </c>
      <c r="D25">
        <v>36882452</v>
      </c>
      <c r="E25">
        <v>1</v>
      </c>
      <c r="F25">
        <v>1</v>
      </c>
      <c r="G25">
        <v>1</v>
      </c>
      <c r="H25">
        <v>2</v>
      </c>
      <c r="I25" t="s">
        <v>462</v>
      </c>
      <c r="J25" t="s">
        <v>463</v>
      </c>
      <c r="K25" t="s">
        <v>464</v>
      </c>
      <c r="L25">
        <v>1368</v>
      </c>
      <c r="N25">
        <v>1011</v>
      </c>
      <c r="O25" t="s">
        <v>465</v>
      </c>
      <c r="P25" t="s">
        <v>465</v>
      </c>
      <c r="Q25">
        <v>1</v>
      </c>
      <c r="W25">
        <v>0</v>
      </c>
      <c r="X25">
        <v>1188625873</v>
      </c>
      <c r="Y25">
        <v>0.4375</v>
      </c>
      <c r="AA25">
        <v>0</v>
      </c>
      <c r="AB25">
        <v>206.63</v>
      </c>
      <c r="AC25">
        <v>13.5</v>
      </c>
      <c r="AD25">
        <v>0</v>
      </c>
      <c r="AE25">
        <v>0</v>
      </c>
      <c r="AF25">
        <v>31.26</v>
      </c>
      <c r="AG25">
        <v>13.5</v>
      </c>
      <c r="AH25">
        <v>0</v>
      </c>
      <c r="AI25">
        <v>1</v>
      </c>
      <c r="AJ25">
        <v>6.61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0.35</v>
      </c>
      <c r="AU25" t="s">
        <v>32</v>
      </c>
      <c r="AV25">
        <v>0</v>
      </c>
      <c r="AW25">
        <v>2</v>
      </c>
      <c r="AX25">
        <v>39617493</v>
      </c>
      <c r="AY25">
        <v>1</v>
      </c>
      <c r="AZ25">
        <v>0</v>
      </c>
      <c r="BA25">
        <v>27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0.52762500000000001</v>
      </c>
      <c r="CY25">
        <f>AB25</f>
        <v>206.63</v>
      </c>
      <c r="CZ25">
        <f>AF25</f>
        <v>31.26</v>
      </c>
      <c r="DA25">
        <f>AJ25</f>
        <v>6.61</v>
      </c>
      <c r="DB25">
        <v>0</v>
      </c>
    </row>
    <row r="26" spans="1:106" x14ac:dyDescent="0.2">
      <c r="A26">
        <f>ROW(Source!A35)</f>
        <v>35</v>
      </c>
      <c r="B26">
        <v>39616881</v>
      </c>
      <c r="C26">
        <v>39617490</v>
      </c>
      <c r="D26">
        <v>36883554</v>
      </c>
      <c r="E26">
        <v>1</v>
      </c>
      <c r="F26">
        <v>1</v>
      </c>
      <c r="G26">
        <v>1</v>
      </c>
      <c r="H26">
        <v>2</v>
      </c>
      <c r="I26" t="s">
        <v>468</v>
      </c>
      <c r="J26" t="s">
        <v>469</v>
      </c>
      <c r="K26" t="s">
        <v>470</v>
      </c>
      <c r="L26">
        <v>1368</v>
      </c>
      <c r="N26">
        <v>1011</v>
      </c>
      <c r="O26" t="s">
        <v>465</v>
      </c>
      <c r="P26" t="s">
        <v>465</v>
      </c>
      <c r="Q26">
        <v>1</v>
      </c>
      <c r="W26">
        <v>0</v>
      </c>
      <c r="X26">
        <v>1372534845</v>
      </c>
      <c r="Y26">
        <v>0.625</v>
      </c>
      <c r="AA26">
        <v>0</v>
      </c>
      <c r="AB26">
        <v>434.34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6.61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0.5</v>
      </c>
      <c r="AU26" t="s">
        <v>32</v>
      </c>
      <c r="AV26">
        <v>0</v>
      </c>
      <c r="AW26">
        <v>2</v>
      </c>
      <c r="AX26">
        <v>39617494</v>
      </c>
      <c r="AY26">
        <v>1</v>
      </c>
      <c r="AZ26">
        <v>0</v>
      </c>
      <c r="BA26">
        <v>28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0.75374999999999992</v>
      </c>
      <c r="CY26">
        <f>AB26</f>
        <v>434.34</v>
      </c>
      <c r="CZ26">
        <f>AF26</f>
        <v>65.709999999999994</v>
      </c>
      <c r="DA26">
        <f>AJ26</f>
        <v>6.61</v>
      </c>
      <c r="DB26">
        <v>0</v>
      </c>
    </row>
    <row r="27" spans="1:106" x14ac:dyDescent="0.2">
      <c r="A27">
        <f>ROW(Source!A35)</f>
        <v>35</v>
      </c>
      <c r="B27">
        <v>39616881</v>
      </c>
      <c r="C27">
        <v>39617490</v>
      </c>
      <c r="D27">
        <v>36801530</v>
      </c>
      <c r="E27">
        <v>1</v>
      </c>
      <c r="F27">
        <v>1</v>
      </c>
      <c r="G27">
        <v>1</v>
      </c>
      <c r="H27">
        <v>3</v>
      </c>
      <c r="I27" t="s">
        <v>65</v>
      </c>
      <c r="J27" t="s">
        <v>68</v>
      </c>
      <c r="K27" t="s">
        <v>66</v>
      </c>
      <c r="L27">
        <v>1327</v>
      </c>
      <c r="N27">
        <v>1005</v>
      </c>
      <c r="O27" t="s">
        <v>67</v>
      </c>
      <c r="P27" t="s">
        <v>67</v>
      </c>
      <c r="Q27">
        <v>1</v>
      </c>
      <c r="W27">
        <v>0</v>
      </c>
      <c r="X27">
        <v>-1380946276</v>
      </c>
      <c r="Y27">
        <v>102</v>
      </c>
      <c r="AA27">
        <v>1198.5899999999999</v>
      </c>
      <c r="AB27">
        <v>0</v>
      </c>
      <c r="AC27">
        <v>0</v>
      </c>
      <c r="AD27">
        <v>0</v>
      </c>
      <c r="AE27">
        <v>181.33</v>
      </c>
      <c r="AF27">
        <v>0</v>
      </c>
      <c r="AG27">
        <v>0</v>
      </c>
      <c r="AH27">
        <v>0</v>
      </c>
      <c r="AI27">
        <v>6.61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3</v>
      </c>
      <c r="AT27">
        <v>102</v>
      </c>
      <c r="AU27" t="s">
        <v>3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Y27*Source!I35</f>
        <v>123.012</v>
      </c>
      <c r="CY27">
        <f>AA27</f>
        <v>1198.5899999999999</v>
      </c>
      <c r="CZ27">
        <f>AE27</f>
        <v>181.33</v>
      </c>
      <c r="DA27">
        <f>AI27</f>
        <v>6.61</v>
      </c>
      <c r="DB27">
        <v>0</v>
      </c>
    </row>
    <row r="28" spans="1:106" x14ac:dyDescent="0.2">
      <c r="A28">
        <f>ROW(Source!A35)</f>
        <v>35</v>
      </c>
      <c r="B28">
        <v>39616881</v>
      </c>
      <c r="C28">
        <v>39617490</v>
      </c>
      <c r="D28">
        <v>36805524</v>
      </c>
      <c r="E28">
        <v>1</v>
      </c>
      <c r="F28">
        <v>1</v>
      </c>
      <c r="G28">
        <v>1</v>
      </c>
      <c r="H28">
        <v>3</v>
      </c>
      <c r="I28" t="s">
        <v>490</v>
      </c>
      <c r="J28" t="s">
        <v>491</v>
      </c>
      <c r="K28" t="s">
        <v>492</v>
      </c>
      <c r="L28">
        <v>1346</v>
      </c>
      <c r="N28">
        <v>1009</v>
      </c>
      <c r="O28" t="s">
        <v>77</v>
      </c>
      <c r="P28" t="s">
        <v>77</v>
      </c>
      <c r="Q28">
        <v>1</v>
      </c>
      <c r="W28">
        <v>0</v>
      </c>
      <c r="X28">
        <v>813963326</v>
      </c>
      <c r="Y28">
        <v>0.5</v>
      </c>
      <c r="AA28">
        <v>12.03</v>
      </c>
      <c r="AB28">
        <v>0</v>
      </c>
      <c r="AC28">
        <v>0</v>
      </c>
      <c r="AD28">
        <v>0</v>
      </c>
      <c r="AE28">
        <v>1.82</v>
      </c>
      <c r="AF28">
        <v>0</v>
      </c>
      <c r="AG28">
        <v>0</v>
      </c>
      <c r="AH28">
        <v>0</v>
      </c>
      <c r="AI28">
        <v>6.61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0.5</v>
      </c>
      <c r="AU28" t="s">
        <v>3</v>
      </c>
      <c r="AV28">
        <v>0</v>
      </c>
      <c r="AW28">
        <v>2</v>
      </c>
      <c r="AX28">
        <v>39617496</v>
      </c>
      <c r="AY28">
        <v>1</v>
      </c>
      <c r="AZ28">
        <v>0</v>
      </c>
      <c r="BA28">
        <v>30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Y28*Source!I35</f>
        <v>0.60299999999999998</v>
      </c>
      <c r="CY28">
        <f>AA28</f>
        <v>12.03</v>
      </c>
      <c r="CZ28">
        <f>AE28</f>
        <v>1.82</v>
      </c>
      <c r="DA28">
        <f>AI28</f>
        <v>6.61</v>
      </c>
      <c r="DB28">
        <v>0</v>
      </c>
    </row>
    <row r="29" spans="1:106" x14ac:dyDescent="0.2">
      <c r="A29">
        <f>ROW(Source!A35)</f>
        <v>35</v>
      </c>
      <c r="B29">
        <v>39616881</v>
      </c>
      <c r="C29">
        <v>39617490</v>
      </c>
      <c r="D29">
        <v>36836949</v>
      </c>
      <c r="E29">
        <v>1</v>
      </c>
      <c r="F29">
        <v>1</v>
      </c>
      <c r="G29">
        <v>1</v>
      </c>
      <c r="H29">
        <v>3</v>
      </c>
      <c r="I29" t="s">
        <v>70</v>
      </c>
      <c r="J29" t="s">
        <v>73</v>
      </c>
      <c r="K29" t="s">
        <v>71</v>
      </c>
      <c r="L29">
        <v>1348</v>
      </c>
      <c r="N29">
        <v>1009</v>
      </c>
      <c r="O29" t="s">
        <v>72</v>
      </c>
      <c r="P29" t="s">
        <v>72</v>
      </c>
      <c r="Q29">
        <v>1000</v>
      </c>
      <c r="W29">
        <v>0</v>
      </c>
      <c r="X29">
        <v>1767657972</v>
      </c>
      <c r="Y29">
        <v>0.05</v>
      </c>
      <c r="AA29">
        <v>105099</v>
      </c>
      <c r="AB29">
        <v>0</v>
      </c>
      <c r="AC29">
        <v>0</v>
      </c>
      <c r="AD29">
        <v>0</v>
      </c>
      <c r="AE29">
        <v>15900</v>
      </c>
      <c r="AF29">
        <v>0</v>
      </c>
      <c r="AG29">
        <v>0</v>
      </c>
      <c r="AH29">
        <v>0</v>
      </c>
      <c r="AI29">
        <v>6.61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3</v>
      </c>
      <c r="AT29">
        <v>0.05</v>
      </c>
      <c r="AU29" t="s">
        <v>3</v>
      </c>
      <c r="AV29">
        <v>0</v>
      </c>
      <c r="AW29">
        <v>1</v>
      </c>
      <c r="AX29">
        <v>-1</v>
      </c>
      <c r="AY29">
        <v>0</v>
      </c>
      <c r="AZ29">
        <v>0</v>
      </c>
      <c r="BA29" t="s">
        <v>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Y29*Source!I35</f>
        <v>6.0299999999999999E-2</v>
      </c>
      <c r="CY29">
        <f>AA29</f>
        <v>105099</v>
      </c>
      <c r="CZ29">
        <f>AE29</f>
        <v>15900</v>
      </c>
      <c r="DA29">
        <f>AI29</f>
        <v>6.61</v>
      </c>
      <c r="DB29">
        <v>0</v>
      </c>
    </row>
    <row r="30" spans="1:106" x14ac:dyDescent="0.2">
      <c r="A30">
        <f>ROW(Source!A35)</f>
        <v>35</v>
      </c>
      <c r="B30">
        <v>39616881</v>
      </c>
      <c r="C30">
        <v>39617490</v>
      </c>
      <c r="D30">
        <v>36796764</v>
      </c>
      <c r="E30">
        <v>17</v>
      </c>
      <c r="F30">
        <v>1</v>
      </c>
      <c r="G30">
        <v>1</v>
      </c>
      <c r="H30">
        <v>3</v>
      </c>
      <c r="I30" t="s">
        <v>75</v>
      </c>
      <c r="J30" t="s">
        <v>3</v>
      </c>
      <c r="K30" t="s">
        <v>76</v>
      </c>
      <c r="L30">
        <v>1346</v>
      </c>
      <c r="N30">
        <v>1009</v>
      </c>
      <c r="O30" t="s">
        <v>77</v>
      </c>
      <c r="P30" t="s">
        <v>77</v>
      </c>
      <c r="Q30">
        <v>1</v>
      </c>
      <c r="W30">
        <v>0</v>
      </c>
      <c r="X30">
        <v>290394019</v>
      </c>
      <c r="Y30">
        <v>50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6.61</v>
      </c>
      <c r="AJ30">
        <v>1</v>
      </c>
      <c r="AK30">
        <v>1</v>
      </c>
      <c r="AL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3</v>
      </c>
      <c r="AT30">
        <v>50</v>
      </c>
      <c r="AU30" t="s">
        <v>3</v>
      </c>
      <c r="AV30">
        <v>0</v>
      </c>
      <c r="AW30">
        <v>2</v>
      </c>
      <c r="AX30">
        <v>39617497</v>
      </c>
      <c r="AY30">
        <v>1</v>
      </c>
      <c r="AZ30">
        <v>0</v>
      </c>
      <c r="BA30">
        <v>31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Y30*Source!I35</f>
        <v>60.3</v>
      </c>
      <c r="CY30">
        <f>AA30</f>
        <v>0</v>
      </c>
      <c r="CZ30">
        <f>AE30</f>
        <v>0</v>
      </c>
      <c r="DA30">
        <f>AI30</f>
        <v>6.61</v>
      </c>
      <c r="DB30">
        <v>0</v>
      </c>
    </row>
    <row r="31" spans="1:106" x14ac:dyDescent="0.2">
      <c r="A31">
        <f>ROW(Source!A39)</f>
        <v>39</v>
      </c>
      <c r="B31">
        <v>39616881</v>
      </c>
      <c r="C31">
        <v>39617402</v>
      </c>
      <c r="D31">
        <v>37072767</v>
      </c>
      <c r="E31">
        <v>1</v>
      </c>
      <c r="F31">
        <v>1</v>
      </c>
      <c r="G31">
        <v>1</v>
      </c>
      <c r="H31">
        <v>1</v>
      </c>
      <c r="I31" t="s">
        <v>493</v>
      </c>
      <c r="J31" t="s">
        <v>3</v>
      </c>
      <c r="K31" t="s">
        <v>494</v>
      </c>
      <c r="L31">
        <v>1191</v>
      </c>
      <c r="N31">
        <v>1013</v>
      </c>
      <c r="O31" t="s">
        <v>459</v>
      </c>
      <c r="P31" t="s">
        <v>459</v>
      </c>
      <c r="Q31">
        <v>1</v>
      </c>
      <c r="W31">
        <v>0</v>
      </c>
      <c r="X31">
        <v>-1027537862</v>
      </c>
      <c r="Y31">
        <v>7.6819999999999995</v>
      </c>
      <c r="AA31">
        <v>0</v>
      </c>
      <c r="AB31">
        <v>0</v>
      </c>
      <c r="AC31">
        <v>0</v>
      </c>
      <c r="AD31">
        <v>60.68</v>
      </c>
      <c r="AE31">
        <v>0</v>
      </c>
      <c r="AF31">
        <v>0</v>
      </c>
      <c r="AG31">
        <v>0</v>
      </c>
      <c r="AH31">
        <v>9.18</v>
      </c>
      <c r="AI31">
        <v>1</v>
      </c>
      <c r="AJ31">
        <v>1</v>
      </c>
      <c r="AK31">
        <v>1</v>
      </c>
      <c r="AL31">
        <v>6.61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6.68</v>
      </c>
      <c r="AU31" t="s">
        <v>33</v>
      </c>
      <c r="AV31">
        <v>1</v>
      </c>
      <c r="AW31">
        <v>2</v>
      </c>
      <c r="AX31">
        <v>39617514</v>
      </c>
      <c r="AY31">
        <v>1</v>
      </c>
      <c r="AZ31">
        <v>0</v>
      </c>
      <c r="BA31">
        <v>32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Y31*Source!I39</f>
        <v>5.8982396000000001</v>
      </c>
      <c r="CY31">
        <f>AD31</f>
        <v>60.68</v>
      </c>
      <c r="CZ31">
        <f>AH31</f>
        <v>9.18</v>
      </c>
      <c r="DA31">
        <f>AL31</f>
        <v>6.61</v>
      </c>
      <c r="DB31">
        <v>0</v>
      </c>
    </row>
    <row r="32" spans="1:106" x14ac:dyDescent="0.2">
      <c r="A32">
        <f>ROW(Source!A39)</f>
        <v>39</v>
      </c>
      <c r="B32">
        <v>39616881</v>
      </c>
      <c r="C32">
        <v>39617402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460</v>
      </c>
      <c r="J32" t="s">
        <v>3</v>
      </c>
      <c r="K32" t="s">
        <v>461</v>
      </c>
      <c r="L32">
        <v>1191</v>
      </c>
      <c r="N32">
        <v>1013</v>
      </c>
      <c r="O32" t="s">
        <v>459</v>
      </c>
      <c r="P32" t="s">
        <v>459</v>
      </c>
      <c r="Q32">
        <v>1</v>
      </c>
      <c r="W32">
        <v>0</v>
      </c>
      <c r="X32">
        <v>-1417349443</v>
      </c>
      <c r="Y32">
        <v>0.04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6.61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0.04</v>
      </c>
      <c r="AU32" t="s">
        <v>3</v>
      </c>
      <c r="AV32">
        <v>2</v>
      </c>
      <c r="AW32">
        <v>2</v>
      </c>
      <c r="AX32">
        <v>39617515</v>
      </c>
      <c r="AY32">
        <v>1</v>
      </c>
      <c r="AZ32">
        <v>2048</v>
      </c>
      <c r="BA32">
        <v>33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3.0712000000000003E-2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ROW(Source!A39)</f>
        <v>39</v>
      </c>
      <c r="B33">
        <v>39616881</v>
      </c>
      <c r="C33">
        <v>39617402</v>
      </c>
      <c r="D33">
        <v>36882452</v>
      </c>
      <c r="E33">
        <v>1</v>
      </c>
      <c r="F33">
        <v>1</v>
      </c>
      <c r="G33">
        <v>1</v>
      </c>
      <c r="H33">
        <v>2</v>
      </c>
      <c r="I33" t="s">
        <v>462</v>
      </c>
      <c r="J33" t="s">
        <v>463</v>
      </c>
      <c r="K33" t="s">
        <v>464</v>
      </c>
      <c r="L33">
        <v>1368</v>
      </c>
      <c r="N33">
        <v>1011</v>
      </c>
      <c r="O33" t="s">
        <v>465</v>
      </c>
      <c r="P33" t="s">
        <v>465</v>
      </c>
      <c r="Q33">
        <v>1</v>
      </c>
      <c r="W33">
        <v>0</v>
      </c>
      <c r="X33">
        <v>1188625873</v>
      </c>
      <c r="Y33">
        <v>6.2500000000000003E-3</v>
      </c>
      <c r="AA33">
        <v>0</v>
      </c>
      <c r="AB33">
        <v>206.63</v>
      </c>
      <c r="AC33">
        <v>13.5</v>
      </c>
      <c r="AD33">
        <v>0</v>
      </c>
      <c r="AE33">
        <v>0</v>
      </c>
      <c r="AF33">
        <v>31.26</v>
      </c>
      <c r="AG33">
        <v>13.5</v>
      </c>
      <c r="AH33">
        <v>0</v>
      </c>
      <c r="AI33">
        <v>1</v>
      </c>
      <c r="AJ33">
        <v>6.61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5.0000000000000001E-3</v>
      </c>
      <c r="AU33" t="s">
        <v>32</v>
      </c>
      <c r="AV33">
        <v>0</v>
      </c>
      <c r="AW33">
        <v>2</v>
      </c>
      <c r="AX33">
        <v>39617516</v>
      </c>
      <c r="AY33">
        <v>1</v>
      </c>
      <c r="AZ33">
        <v>0</v>
      </c>
      <c r="BA33">
        <v>34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4.7987500000000009E-3</v>
      </c>
      <c r="CY33">
        <f>AB33</f>
        <v>206.63</v>
      </c>
      <c r="CZ33">
        <f>AF33</f>
        <v>31.26</v>
      </c>
      <c r="DA33">
        <f>AJ33</f>
        <v>6.61</v>
      </c>
      <c r="DB33">
        <v>0</v>
      </c>
    </row>
    <row r="34" spans="1:106" x14ac:dyDescent="0.2">
      <c r="A34">
        <f>ROW(Source!A39)</f>
        <v>39</v>
      </c>
      <c r="B34">
        <v>39616881</v>
      </c>
      <c r="C34">
        <v>39617402</v>
      </c>
      <c r="D34">
        <v>36883554</v>
      </c>
      <c r="E34">
        <v>1</v>
      </c>
      <c r="F34">
        <v>1</v>
      </c>
      <c r="G34">
        <v>1</v>
      </c>
      <c r="H34">
        <v>2</v>
      </c>
      <c r="I34" t="s">
        <v>468</v>
      </c>
      <c r="J34" t="s">
        <v>469</v>
      </c>
      <c r="K34" t="s">
        <v>470</v>
      </c>
      <c r="L34">
        <v>1368</v>
      </c>
      <c r="N34">
        <v>1011</v>
      </c>
      <c r="O34" t="s">
        <v>465</v>
      </c>
      <c r="P34" t="s">
        <v>465</v>
      </c>
      <c r="Q34">
        <v>1</v>
      </c>
      <c r="W34">
        <v>0</v>
      </c>
      <c r="X34">
        <v>1372534845</v>
      </c>
      <c r="Y34">
        <v>3.7499999999999999E-2</v>
      </c>
      <c r="AA34">
        <v>0</v>
      </c>
      <c r="AB34">
        <v>434.34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6.61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0.03</v>
      </c>
      <c r="AU34" t="s">
        <v>32</v>
      </c>
      <c r="AV34">
        <v>0</v>
      </c>
      <c r="AW34">
        <v>2</v>
      </c>
      <c r="AX34">
        <v>39617517</v>
      </c>
      <c r="AY34">
        <v>1</v>
      </c>
      <c r="AZ34">
        <v>0</v>
      </c>
      <c r="BA34">
        <v>35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Y34*Source!I39</f>
        <v>2.8792499999999999E-2</v>
      </c>
      <c r="CY34">
        <f>AB34</f>
        <v>434.34</v>
      </c>
      <c r="CZ34">
        <f>AF34</f>
        <v>65.709999999999994</v>
      </c>
      <c r="DA34">
        <f>AJ34</f>
        <v>6.61</v>
      </c>
      <c r="DB34">
        <v>0</v>
      </c>
    </row>
    <row r="35" spans="1:106" x14ac:dyDescent="0.2">
      <c r="A35">
        <f>ROW(Source!A39)</f>
        <v>39</v>
      </c>
      <c r="B35">
        <v>39616881</v>
      </c>
      <c r="C35">
        <v>39617402</v>
      </c>
      <c r="D35">
        <v>36804478</v>
      </c>
      <c r="E35">
        <v>1</v>
      </c>
      <c r="F35">
        <v>1</v>
      </c>
      <c r="G35">
        <v>1</v>
      </c>
      <c r="H35">
        <v>3</v>
      </c>
      <c r="I35" t="s">
        <v>495</v>
      </c>
      <c r="J35" t="s">
        <v>496</v>
      </c>
      <c r="K35" t="s">
        <v>497</v>
      </c>
      <c r="L35">
        <v>1355</v>
      </c>
      <c r="N35">
        <v>1010</v>
      </c>
      <c r="O35" t="s">
        <v>90</v>
      </c>
      <c r="P35" t="s">
        <v>90</v>
      </c>
      <c r="Q35">
        <v>100</v>
      </c>
      <c r="W35">
        <v>0</v>
      </c>
      <c r="X35">
        <v>-725528132</v>
      </c>
      <c r="Y35">
        <v>2.63</v>
      </c>
      <c r="AA35">
        <v>79.319999999999993</v>
      </c>
      <c r="AB35">
        <v>0</v>
      </c>
      <c r="AC35">
        <v>0</v>
      </c>
      <c r="AD35">
        <v>0</v>
      </c>
      <c r="AE35">
        <v>12</v>
      </c>
      <c r="AF35">
        <v>0</v>
      </c>
      <c r="AG35">
        <v>0</v>
      </c>
      <c r="AH35">
        <v>0</v>
      </c>
      <c r="AI35">
        <v>6.61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2.63</v>
      </c>
      <c r="AU35" t="s">
        <v>3</v>
      </c>
      <c r="AV35">
        <v>0</v>
      </c>
      <c r="AW35">
        <v>2</v>
      </c>
      <c r="AX35">
        <v>39617518</v>
      </c>
      <c r="AY35">
        <v>1</v>
      </c>
      <c r="AZ35">
        <v>0</v>
      </c>
      <c r="BA35">
        <v>36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2.0193140000000001</v>
      </c>
      <c r="CY35">
        <f t="shared" ref="CY35:CY42" si="0">AA35</f>
        <v>79.319999999999993</v>
      </c>
      <c r="CZ35">
        <f t="shared" ref="CZ35:CZ42" si="1">AE35</f>
        <v>12</v>
      </c>
      <c r="DA35">
        <f t="shared" ref="DA35:DA42" si="2">AI35</f>
        <v>6.61</v>
      </c>
      <c r="DB35">
        <v>0</v>
      </c>
    </row>
    <row r="36" spans="1:106" x14ac:dyDescent="0.2">
      <c r="A36">
        <f>ROW(Source!A39)</f>
        <v>39</v>
      </c>
      <c r="B36">
        <v>39616881</v>
      </c>
      <c r="C36">
        <v>39617402</v>
      </c>
      <c r="D36">
        <v>36804581</v>
      </c>
      <c r="E36">
        <v>1</v>
      </c>
      <c r="F36">
        <v>1</v>
      </c>
      <c r="G36">
        <v>1</v>
      </c>
      <c r="H36">
        <v>3</v>
      </c>
      <c r="I36" t="s">
        <v>498</v>
      </c>
      <c r="J36" t="s">
        <v>499</v>
      </c>
      <c r="K36" t="s">
        <v>500</v>
      </c>
      <c r="L36">
        <v>1356</v>
      </c>
      <c r="N36">
        <v>1010</v>
      </c>
      <c r="O36" t="s">
        <v>501</v>
      </c>
      <c r="P36" t="s">
        <v>501</v>
      </c>
      <c r="Q36">
        <v>1000</v>
      </c>
      <c r="W36">
        <v>0</v>
      </c>
      <c r="X36">
        <v>1130533903</v>
      </c>
      <c r="Y36">
        <v>0.26300000000000001</v>
      </c>
      <c r="AA36">
        <v>1057.5999999999999</v>
      </c>
      <c r="AB36">
        <v>0</v>
      </c>
      <c r="AC36">
        <v>0</v>
      </c>
      <c r="AD36">
        <v>0</v>
      </c>
      <c r="AE36">
        <v>160</v>
      </c>
      <c r="AF36">
        <v>0</v>
      </c>
      <c r="AG36">
        <v>0</v>
      </c>
      <c r="AH36">
        <v>0</v>
      </c>
      <c r="AI36">
        <v>6.61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0.26300000000000001</v>
      </c>
      <c r="AU36" t="s">
        <v>3</v>
      </c>
      <c r="AV36">
        <v>0</v>
      </c>
      <c r="AW36">
        <v>2</v>
      </c>
      <c r="AX36">
        <v>39617519</v>
      </c>
      <c r="AY36">
        <v>1</v>
      </c>
      <c r="AZ36">
        <v>0</v>
      </c>
      <c r="BA36">
        <v>37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0.20193140000000001</v>
      </c>
      <c r="CY36">
        <f t="shared" si="0"/>
        <v>1057.5999999999999</v>
      </c>
      <c r="CZ36">
        <f t="shared" si="1"/>
        <v>160</v>
      </c>
      <c r="DA36">
        <f t="shared" si="2"/>
        <v>6.61</v>
      </c>
      <c r="DB36">
        <v>0</v>
      </c>
    </row>
    <row r="37" spans="1:106" x14ac:dyDescent="0.2">
      <c r="A37">
        <f>ROW(Source!A39)</f>
        <v>39</v>
      </c>
      <c r="B37">
        <v>39616881</v>
      </c>
      <c r="C37">
        <v>39617402</v>
      </c>
      <c r="D37">
        <v>36832175</v>
      </c>
      <c r="E37">
        <v>1</v>
      </c>
      <c r="F37">
        <v>1</v>
      </c>
      <c r="G37">
        <v>1</v>
      </c>
      <c r="H37">
        <v>3</v>
      </c>
      <c r="I37" t="s">
        <v>83</v>
      </c>
      <c r="J37" t="s">
        <v>86</v>
      </c>
      <c r="K37" t="s">
        <v>84</v>
      </c>
      <c r="L37">
        <v>1301</v>
      </c>
      <c r="N37">
        <v>1003</v>
      </c>
      <c r="O37" t="s">
        <v>85</v>
      </c>
      <c r="P37" t="s">
        <v>85</v>
      </c>
      <c r="Q37">
        <v>1</v>
      </c>
      <c r="W37">
        <v>0</v>
      </c>
      <c r="X37">
        <v>26470480</v>
      </c>
      <c r="Y37">
        <v>101</v>
      </c>
      <c r="AA37">
        <v>81.3</v>
      </c>
      <c r="AB37">
        <v>0</v>
      </c>
      <c r="AC37">
        <v>0</v>
      </c>
      <c r="AD37">
        <v>0</v>
      </c>
      <c r="AE37">
        <v>12.3</v>
      </c>
      <c r="AF37">
        <v>0</v>
      </c>
      <c r="AG37">
        <v>0</v>
      </c>
      <c r="AH37">
        <v>0</v>
      </c>
      <c r="AI37">
        <v>6.61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3</v>
      </c>
      <c r="AT37">
        <v>101</v>
      </c>
      <c r="AU37" t="s">
        <v>3</v>
      </c>
      <c r="AV37">
        <v>0</v>
      </c>
      <c r="AW37">
        <v>1</v>
      </c>
      <c r="AX37">
        <v>-1</v>
      </c>
      <c r="AY37">
        <v>0</v>
      </c>
      <c r="AZ37">
        <v>0</v>
      </c>
      <c r="BA37" t="s">
        <v>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77.547800000000009</v>
      </c>
      <c r="CY37">
        <f t="shared" si="0"/>
        <v>81.3</v>
      </c>
      <c r="CZ37">
        <f t="shared" si="1"/>
        <v>12.3</v>
      </c>
      <c r="DA37">
        <f t="shared" si="2"/>
        <v>6.61</v>
      </c>
      <c r="DB37">
        <v>0</v>
      </c>
    </row>
    <row r="38" spans="1:106" x14ac:dyDescent="0.2">
      <c r="A38">
        <f>ROW(Source!A39)</f>
        <v>39</v>
      </c>
      <c r="B38">
        <v>39616881</v>
      </c>
      <c r="C38">
        <v>39617402</v>
      </c>
      <c r="D38">
        <v>36832262</v>
      </c>
      <c r="E38">
        <v>1</v>
      </c>
      <c r="F38">
        <v>1</v>
      </c>
      <c r="G38">
        <v>1</v>
      </c>
      <c r="H38">
        <v>3</v>
      </c>
      <c r="I38" t="s">
        <v>101</v>
      </c>
      <c r="J38" t="s">
        <v>103</v>
      </c>
      <c r="K38" t="s">
        <v>102</v>
      </c>
      <c r="L38">
        <v>1355</v>
      </c>
      <c r="N38">
        <v>1010</v>
      </c>
      <c r="O38" t="s">
        <v>90</v>
      </c>
      <c r="P38" t="s">
        <v>90</v>
      </c>
      <c r="Q38">
        <v>100</v>
      </c>
      <c r="W38">
        <v>0</v>
      </c>
      <c r="X38">
        <v>766681708</v>
      </c>
      <c r="Y38">
        <v>7.8145000000000006E-2</v>
      </c>
      <c r="AA38">
        <v>667.61</v>
      </c>
      <c r="AB38">
        <v>0</v>
      </c>
      <c r="AC38">
        <v>0</v>
      </c>
      <c r="AD38">
        <v>0</v>
      </c>
      <c r="AE38">
        <v>101</v>
      </c>
      <c r="AF38">
        <v>0</v>
      </c>
      <c r="AG38">
        <v>0</v>
      </c>
      <c r="AH38">
        <v>0</v>
      </c>
      <c r="AI38">
        <v>6.61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3</v>
      </c>
      <c r="AT38">
        <v>7.8145000000000006E-2</v>
      </c>
      <c r="AU38" t="s">
        <v>3</v>
      </c>
      <c r="AV38">
        <v>0</v>
      </c>
      <c r="AW38">
        <v>1</v>
      </c>
      <c r="AX38">
        <v>-1</v>
      </c>
      <c r="AY38">
        <v>0</v>
      </c>
      <c r="AZ38">
        <v>0</v>
      </c>
      <c r="BA38" t="s">
        <v>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5.9999731000000008E-2</v>
      </c>
      <c r="CY38">
        <f t="shared" si="0"/>
        <v>667.61</v>
      </c>
      <c r="CZ38">
        <f t="shared" si="1"/>
        <v>101</v>
      </c>
      <c r="DA38">
        <f t="shared" si="2"/>
        <v>6.61</v>
      </c>
      <c r="DB38">
        <v>0</v>
      </c>
    </row>
    <row r="39" spans="1:106" x14ac:dyDescent="0.2">
      <c r="A39">
        <f>ROW(Source!A39)</f>
        <v>39</v>
      </c>
      <c r="B39">
        <v>39616881</v>
      </c>
      <c r="C39">
        <v>39617402</v>
      </c>
      <c r="D39">
        <v>36832264</v>
      </c>
      <c r="E39">
        <v>1</v>
      </c>
      <c r="F39">
        <v>1</v>
      </c>
      <c r="G39">
        <v>1</v>
      </c>
      <c r="H39">
        <v>3</v>
      </c>
      <c r="I39" t="s">
        <v>105</v>
      </c>
      <c r="J39" t="s">
        <v>107</v>
      </c>
      <c r="K39" t="s">
        <v>106</v>
      </c>
      <c r="L39">
        <v>1355</v>
      </c>
      <c r="N39">
        <v>1010</v>
      </c>
      <c r="O39" t="s">
        <v>90</v>
      </c>
      <c r="P39" t="s">
        <v>90</v>
      </c>
      <c r="Q39">
        <v>100</v>
      </c>
      <c r="W39">
        <v>0</v>
      </c>
      <c r="X39">
        <v>191136453</v>
      </c>
      <c r="Y39">
        <v>7.8145000000000006E-2</v>
      </c>
      <c r="AA39">
        <v>667.61</v>
      </c>
      <c r="AB39">
        <v>0</v>
      </c>
      <c r="AC39">
        <v>0</v>
      </c>
      <c r="AD39">
        <v>0</v>
      </c>
      <c r="AE39">
        <v>101</v>
      </c>
      <c r="AF39">
        <v>0</v>
      </c>
      <c r="AG39">
        <v>0</v>
      </c>
      <c r="AH39">
        <v>0</v>
      </c>
      <c r="AI39">
        <v>6.61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3</v>
      </c>
      <c r="AT39">
        <v>7.8145000000000006E-2</v>
      </c>
      <c r="AU39" t="s">
        <v>3</v>
      </c>
      <c r="AV39">
        <v>0</v>
      </c>
      <c r="AW39">
        <v>1</v>
      </c>
      <c r="AX39">
        <v>-1</v>
      </c>
      <c r="AY39">
        <v>0</v>
      </c>
      <c r="AZ39">
        <v>0</v>
      </c>
      <c r="BA39" t="s">
        <v>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5.9999731000000008E-2</v>
      </c>
      <c r="CY39">
        <f t="shared" si="0"/>
        <v>667.61</v>
      </c>
      <c r="CZ39">
        <f t="shared" si="1"/>
        <v>101</v>
      </c>
      <c r="DA39">
        <f t="shared" si="2"/>
        <v>6.61</v>
      </c>
      <c r="DB39">
        <v>0</v>
      </c>
    </row>
    <row r="40" spans="1:106" x14ac:dyDescent="0.2">
      <c r="A40">
        <f>ROW(Source!A39)</f>
        <v>39</v>
      </c>
      <c r="B40">
        <v>39616881</v>
      </c>
      <c r="C40">
        <v>39617402</v>
      </c>
      <c r="D40">
        <v>36832266</v>
      </c>
      <c r="E40">
        <v>1</v>
      </c>
      <c r="F40">
        <v>1</v>
      </c>
      <c r="G40">
        <v>1</v>
      </c>
      <c r="H40">
        <v>3</v>
      </c>
      <c r="I40" t="s">
        <v>97</v>
      </c>
      <c r="J40" t="s">
        <v>99</v>
      </c>
      <c r="K40" t="s">
        <v>98</v>
      </c>
      <c r="L40">
        <v>1355</v>
      </c>
      <c r="N40">
        <v>1010</v>
      </c>
      <c r="O40" t="s">
        <v>90</v>
      </c>
      <c r="P40" t="s">
        <v>90</v>
      </c>
      <c r="Q40">
        <v>100</v>
      </c>
      <c r="W40">
        <v>0</v>
      </c>
      <c r="X40">
        <v>1073883569</v>
      </c>
      <c r="Y40">
        <v>0.39072699999999999</v>
      </c>
      <c r="AA40">
        <v>846.08</v>
      </c>
      <c r="AB40">
        <v>0</v>
      </c>
      <c r="AC40">
        <v>0</v>
      </c>
      <c r="AD40">
        <v>0</v>
      </c>
      <c r="AE40">
        <v>128</v>
      </c>
      <c r="AF40">
        <v>0</v>
      </c>
      <c r="AG40">
        <v>0</v>
      </c>
      <c r="AH40">
        <v>0</v>
      </c>
      <c r="AI40">
        <v>6.61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3</v>
      </c>
      <c r="AT40">
        <v>0.39072699999999999</v>
      </c>
      <c r="AU40" t="s">
        <v>3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3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0.30000019059999999</v>
      </c>
      <c r="CY40">
        <f t="shared" si="0"/>
        <v>846.08</v>
      </c>
      <c r="CZ40">
        <f t="shared" si="1"/>
        <v>128</v>
      </c>
      <c r="DA40">
        <f t="shared" si="2"/>
        <v>6.61</v>
      </c>
      <c r="DB40">
        <v>0</v>
      </c>
    </row>
    <row r="41" spans="1:106" x14ac:dyDescent="0.2">
      <c r="A41">
        <f>ROW(Source!A39)</f>
        <v>39</v>
      </c>
      <c r="B41">
        <v>39616881</v>
      </c>
      <c r="C41">
        <v>39617402</v>
      </c>
      <c r="D41">
        <v>36832268</v>
      </c>
      <c r="E41">
        <v>1</v>
      </c>
      <c r="F41">
        <v>1</v>
      </c>
      <c r="G41">
        <v>1</v>
      </c>
      <c r="H41">
        <v>3</v>
      </c>
      <c r="I41" t="s">
        <v>93</v>
      </c>
      <c r="J41" t="s">
        <v>95</v>
      </c>
      <c r="K41" t="s">
        <v>94</v>
      </c>
      <c r="L41">
        <v>1355</v>
      </c>
      <c r="N41">
        <v>1010</v>
      </c>
      <c r="O41" t="s">
        <v>90</v>
      </c>
      <c r="P41" t="s">
        <v>90</v>
      </c>
      <c r="Q41">
        <v>100</v>
      </c>
      <c r="W41">
        <v>0</v>
      </c>
      <c r="X41">
        <v>1800897042</v>
      </c>
      <c r="Y41">
        <v>6.5120999999999998E-2</v>
      </c>
      <c r="AA41">
        <v>846.08</v>
      </c>
      <c r="AB41">
        <v>0</v>
      </c>
      <c r="AC41">
        <v>0</v>
      </c>
      <c r="AD41">
        <v>0</v>
      </c>
      <c r="AE41">
        <v>128</v>
      </c>
      <c r="AF41">
        <v>0</v>
      </c>
      <c r="AG41">
        <v>0</v>
      </c>
      <c r="AH41">
        <v>0</v>
      </c>
      <c r="AI41">
        <v>6.61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6.5120999999999998E-2</v>
      </c>
      <c r="AU41" t="s">
        <v>3</v>
      </c>
      <c r="AV41">
        <v>0</v>
      </c>
      <c r="AW41">
        <v>1</v>
      </c>
      <c r="AX41">
        <v>-1</v>
      </c>
      <c r="AY41">
        <v>0</v>
      </c>
      <c r="AZ41">
        <v>0</v>
      </c>
      <c r="BA41" t="s">
        <v>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Y41*Source!I39</f>
        <v>4.9999903800000002E-2</v>
      </c>
      <c r="CY41">
        <f t="shared" si="0"/>
        <v>846.08</v>
      </c>
      <c r="CZ41">
        <f t="shared" si="1"/>
        <v>128</v>
      </c>
      <c r="DA41">
        <f t="shared" si="2"/>
        <v>6.61</v>
      </c>
      <c r="DB41">
        <v>0</v>
      </c>
    </row>
    <row r="42" spans="1:106" x14ac:dyDescent="0.2">
      <c r="A42">
        <f>ROW(Source!A39)</f>
        <v>39</v>
      </c>
      <c r="B42">
        <v>39616881</v>
      </c>
      <c r="C42">
        <v>39617402</v>
      </c>
      <c r="D42">
        <v>36832270</v>
      </c>
      <c r="E42">
        <v>1</v>
      </c>
      <c r="F42">
        <v>1</v>
      </c>
      <c r="G42">
        <v>1</v>
      </c>
      <c r="H42">
        <v>3</v>
      </c>
      <c r="I42" t="s">
        <v>88</v>
      </c>
      <c r="J42" t="s">
        <v>91</v>
      </c>
      <c r="K42" t="s">
        <v>89</v>
      </c>
      <c r="L42">
        <v>1355</v>
      </c>
      <c r="N42">
        <v>1010</v>
      </c>
      <c r="O42" t="s">
        <v>90</v>
      </c>
      <c r="P42" t="s">
        <v>90</v>
      </c>
      <c r="Q42">
        <v>100</v>
      </c>
      <c r="W42">
        <v>0</v>
      </c>
      <c r="X42">
        <v>952646044</v>
      </c>
      <c r="Y42">
        <v>6.5120999999999998E-2</v>
      </c>
      <c r="AA42">
        <v>846.08</v>
      </c>
      <c r="AB42">
        <v>0</v>
      </c>
      <c r="AC42">
        <v>0</v>
      </c>
      <c r="AD42">
        <v>0</v>
      </c>
      <c r="AE42">
        <v>128</v>
      </c>
      <c r="AF42">
        <v>0</v>
      </c>
      <c r="AG42">
        <v>0</v>
      </c>
      <c r="AH42">
        <v>0</v>
      </c>
      <c r="AI42">
        <v>6.61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6.5120999999999998E-2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4.9999903800000002E-2</v>
      </c>
      <c r="CY42">
        <f t="shared" si="0"/>
        <v>846.08</v>
      </c>
      <c r="CZ42">
        <f t="shared" si="1"/>
        <v>128</v>
      </c>
      <c r="DA42">
        <f t="shared" si="2"/>
        <v>6.61</v>
      </c>
      <c r="DB42">
        <v>0</v>
      </c>
    </row>
    <row r="43" spans="1:106" x14ac:dyDescent="0.2">
      <c r="A43">
        <f>ROW(Source!A46)</f>
        <v>46</v>
      </c>
      <c r="B43">
        <v>39616881</v>
      </c>
      <c r="C43">
        <v>39617421</v>
      </c>
      <c r="D43">
        <v>37070495</v>
      </c>
      <c r="E43">
        <v>1</v>
      </c>
      <c r="F43">
        <v>1</v>
      </c>
      <c r="G43">
        <v>1</v>
      </c>
      <c r="H43">
        <v>1</v>
      </c>
      <c r="I43" t="s">
        <v>502</v>
      </c>
      <c r="J43" t="s">
        <v>3</v>
      </c>
      <c r="K43" t="s">
        <v>503</v>
      </c>
      <c r="L43">
        <v>1191</v>
      </c>
      <c r="N43">
        <v>1013</v>
      </c>
      <c r="O43" t="s">
        <v>459</v>
      </c>
      <c r="P43" t="s">
        <v>459</v>
      </c>
      <c r="Q43">
        <v>1</v>
      </c>
      <c r="W43">
        <v>0</v>
      </c>
      <c r="X43">
        <v>-784637506</v>
      </c>
      <c r="Y43">
        <v>19.135999999999999</v>
      </c>
      <c r="AA43">
        <v>0</v>
      </c>
      <c r="AB43">
        <v>0</v>
      </c>
      <c r="AC43">
        <v>0</v>
      </c>
      <c r="AD43">
        <v>57.77</v>
      </c>
      <c r="AE43">
        <v>0</v>
      </c>
      <c r="AF43">
        <v>0</v>
      </c>
      <c r="AG43">
        <v>0</v>
      </c>
      <c r="AH43">
        <v>8.74</v>
      </c>
      <c r="AI43">
        <v>1</v>
      </c>
      <c r="AJ43">
        <v>1</v>
      </c>
      <c r="AK43">
        <v>1</v>
      </c>
      <c r="AL43">
        <v>6.61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16.64</v>
      </c>
      <c r="AU43" t="s">
        <v>33</v>
      </c>
      <c r="AV43">
        <v>1</v>
      </c>
      <c r="AW43">
        <v>2</v>
      </c>
      <c r="AX43">
        <v>39617422</v>
      </c>
      <c r="AY43">
        <v>1</v>
      </c>
      <c r="AZ43">
        <v>0</v>
      </c>
      <c r="BA43">
        <v>44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Y43*Source!I46</f>
        <v>0.51667200000000002</v>
      </c>
      <c r="CY43">
        <f>AD43</f>
        <v>57.77</v>
      </c>
      <c r="CZ43">
        <f>AH43</f>
        <v>8.74</v>
      </c>
      <c r="DA43">
        <f>AL43</f>
        <v>6.61</v>
      </c>
      <c r="DB43">
        <v>0</v>
      </c>
    </row>
    <row r="44" spans="1:106" x14ac:dyDescent="0.2">
      <c r="A44">
        <f>ROW(Source!A46)</f>
        <v>46</v>
      </c>
      <c r="B44">
        <v>39616881</v>
      </c>
      <c r="C44">
        <v>39617421</v>
      </c>
      <c r="D44">
        <v>36804478</v>
      </c>
      <c r="E44">
        <v>1</v>
      </c>
      <c r="F44">
        <v>1</v>
      </c>
      <c r="G44">
        <v>1</v>
      </c>
      <c r="H44">
        <v>3</v>
      </c>
      <c r="I44" t="s">
        <v>495</v>
      </c>
      <c r="J44" t="s">
        <v>496</v>
      </c>
      <c r="K44" t="s">
        <v>497</v>
      </c>
      <c r="L44">
        <v>1355</v>
      </c>
      <c r="N44">
        <v>1010</v>
      </c>
      <c r="O44" t="s">
        <v>90</v>
      </c>
      <c r="P44" t="s">
        <v>90</v>
      </c>
      <c r="Q44">
        <v>100</v>
      </c>
      <c r="W44">
        <v>0</v>
      </c>
      <c r="X44">
        <v>-725528132</v>
      </c>
      <c r="Y44">
        <v>6.7</v>
      </c>
      <c r="AA44">
        <v>79.319999999999993</v>
      </c>
      <c r="AB44">
        <v>0</v>
      </c>
      <c r="AC44">
        <v>0</v>
      </c>
      <c r="AD44">
        <v>0</v>
      </c>
      <c r="AE44">
        <v>12</v>
      </c>
      <c r="AF44">
        <v>0</v>
      </c>
      <c r="AG44">
        <v>0</v>
      </c>
      <c r="AH44">
        <v>0</v>
      </c>
      <c r="AI44">
        <v>6.61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6.7</v>
      </c>
      <c r="AU44" t="s">
        <v>3</v>
      </c>
      <c r="AV44">
        <v>0</v>
      </c>
      <c r="AW44">
        <v>2</v>
      </c>
      <c r="AX44">
        <v>39617423</v>
      </c>
      <c r="AY44">
        <v>1</v>
      </c>
      <c r="AZ44">
        <v>0</v>
      </c>
      <c r="BA44">
        <v>45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Y44*Source!I46</f>
        <v>0.18090000000000001</v>
      </c>
      <c r="CY44">
        <f>AA44</f>
        <v>79.319999999999993</v>
      </c>
      <c r="CZ44">
        <f>AE44</f>
        <v>12</v>
      </c>
      <c r="DA44">
        <f>AI44</f>
        <v>6.61</v>
      </c>
      <c r="DB44">
        <v>0</v>
      </c>
    </row>
    <row r="45" spans="1:106" x14ac:dyDescent="0.2">
      <c r="A45">
        <f>ROW(Source!A46)</f>
        <v>46</v>
      </c>
      <c r="B45">
        <v>39616881</v>
      </c>
      <c r="C45">
        <v>39617421</v>
      </c>
      <c r="D45">
        <v>36827385</v>
      </c>
      <c r="E45">
        <v>1</v>
      </c>
      <c r="F45">
        <v>1</v>
      </c>
      <c r="G45">
        <v>1</v>
      </c>
      <c r="H45">
        <v>3</v>
      </c>
      <c r="I45" t="s">
        <v>113</v>
      </c>
      <c r="J45" t="s">
        <v>115</v>
      </c>
      <c r="K45" t="s">
        <v>114</v>
      </c>
      <c r="L45">
        <v>1301</v>
      </c>
      <c r="N45">
        <v>1003</v>
      </c>
      <c r="O45" t="s">
        <v>85</v>
      </c>
      <c r="P45" t="s">
        <v>85</v>
      </c>
      <c r="Q45">
        <v>1</v>
      </c>
      <c r="W45">
        <v>0</v>
      </c>
      <c r="X45">
        <v>-208962189</v>
      </c>
      <c r="Y45">
        <v>105</v>
      </c>
      <c r="AA45">
        <v>149.25</v>
      </c>
      <c r="AB45">
        <v>0</v>
      </c>
      <c r="AC45">
        <v>0</v>
      </c>
      <c r="AD45">
        <v>0</v>
      </c>
      <c r="AE45">
        <v>22.58</v>
      </c>
      <c r="AF45">
        <v>0</v>
      </c>
      <c r="AG45">
        <v>0</v>
      </c>
      <c r="AH45">
        <v>0</v>
      </c>
      <c r="AI45">
        <v>6.61</v>
      </c>
      <c r="AJ45">
        <v>1</v>
      </c>
      <c r="AK45">
        <v>1</v>
      </c>
      <c r="AL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3</v>
      </c>
      <c r="AT45">
        <v>105</v>
      </c>
      <c r="AU45" t="s">
        <v>3</v>
      </c>
      <c r="AV45">
        <v>0</v>
      </c>
      <c r="AW45">
        <v>1</v>
      </c>
      <c r="AX45">
        <v>-1</v>
      </c>
      <c r="AY45">
        <v>0</v>
      </c>
      <c r="AZ45">
        <v>0</v>
      </c>
      <c r="BA45" t="s">
        <v>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Y45*Source!I46</f>
        <v>2.835</v>
      </c>
      <c r="CY45">
        <f>AA45</f>
        <v>149.25</v>
      </c>
      <c r="CZ45">
        <f>AE45</f>
        <v>22.58</v>
      </c>
      <c r="DA45">
        <f>AI45</f>
        <v>6.61</v>
      </c>
      <c r="DB45">
        <v>0</v>
      </c>
    </row>
    <row r="46" spans="1:106" x14ac:dyDescent="0.2">
      <c r="A46">
        <f>ROW(Source!A48)</f>
        <v>48</v>
      </c>
      <c r="B46">
        <v>39616881</v>
      </c>
      <c r="C46">
        <v>39617426</v>
      </c>
      <c r="D46">
        <v>37066717</v>
      </c>
      <c r="E46">
        <v>1</v>
      </c>
      <c r="F46">
        <v>1</v>
      </c>
      <c r="G46">
        <v>1</v>
      </c>
      <c r="H46">
        <v>1</v>
      </c>
      <c r="I46" t="s">
        <v>504</v>
      </c>
      <c r="J46" t="s">
        <v>3</v>
      </c>
      <c r="K46" t="s">
        <v>505</v>
      </c>
      <c r="L46">
        <v>1191</v>
      </c>
      <c r="N46">
        <v>1013</v>
      </c>
      <c r="O46" t="s">
        <v>459</v>
      </c>
      <c r="P46" t="s">
        <v>459</v>
      </c>
      <c r="Q46">
        <v>1</v>
      </c>
      <c r="W46">
        <v>0</v>
      </c>
      <c r="X46">
        <v>-509590494</v>
      </c>
      <c r="Y46">
        <v>14.63</v>
      </c>
      <c r="AA46">
        <v>0</v>
      </c>
      <c r="AB46">
        <v>0</v>
      </c>
      <c r="AC46">
        <v>0</v>
      </c>
      <c r="AD46">
        <v>54</v>
      </c>
      <c r="AE46">
        <v>0</v>
      </c>
      <c r="AF46">
        <v>0</v>
      </c>
      <c r="AG46">
        <v>0</v>
      </c>
      <c r="AH46">
        <v>8.17</v>
      </c>
      <c r="AI46">
        <v>1</v>
      </c>
      <c r="AJ46">
        <v>1</v>
      </c>
      <c r="AK46">
        <v>1</v>
      </c>
      <c r="AL46">
        <v>6.61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14.63</v>
      </c>
      <c r="AU46" t="s">
        <v>3</v>
      </c>
      <c r="AV46">
        <v>1</v>
      </c>
      <c r="AW46">
        <v>2</v>
      </c>
      <c r="AX46">
        <v>39617427</v>
      </c>
      <c r="AY46">
        <v>1</v>
      </c>
      <c r="AZ46">
        <v>0</v>
      </c>
      <c r="BA46">
        <v>47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Y46*Source!I48</f>
        <v>4.8279000000000005</v>
      </c>
      <c r="CY46">
        <f>AD46</f>
        <v>54</v>
      </c>
      <c r="CZ46">
        <f>AH46</f>
        <v>8.17</v>
      </c>
      <c r="DA46">
        <f>AL46</f>
        <v>6.61</v>
      </c>
      <c r="DB46">
        <v>0</v>
      </c>
    </row>
    <row r="47" spans="1:106" x14ac:dyDescent="0.2">
      <c r="A47">
        <f>ROW(Source!A48)</f>
        <v>48</v>
      </c>
      <c r="B47">
        <v>39616881</v>
      </c>
      <c r="C47">
        <v>39617426</v>
      </c>
      <c r="D47">
        <v>36882351</v>
      </c>
      <c r="E47">
        <v>1</v>
      </c>
      <c r="F47">
        <v>1</v>
      </c>
      <c r="G47">
        <v>1</v>
      </c>
      <c r="H47">
        <v>2</v>
      </c>
      <c r="I47" t="s">
        <v>506</v>
      </c>
      <c r="J47" t="s">
        <v>507</v>
      </c>
      <c r="K47" t="s">
        <v>508</v>
      </c>
      <c r="L47">
        <v>1368</v>
      </c>
      <c r="N47">
        <v>1011</v>
      </c>
      <c r="O47" t="s">
        <v>465</v>
      </c>
      <c r="P47" t="s">
        <v>465</v>
      </c>
      <c r="Q47">
        <v>1</v>
      </c>
      <c r="W47">
        <v>0</v>
      </c>
      <c r="X47">
        <v>-1985289705</v>
      </c>
      <c r="Y47">
        <v>0.32</v>
      </c>
      <c r="AA47">
        <v>0</v>
      </c>
      <c r="AB47">
        <v>44.02</v>
      </c>
      <c r="AC47">
        <v>0</v>
      </c>
      <c r="AD47">
        <v>0</v>
      </c>
      <c r="AE47">
        <v>0</v>
      </c>
      <c r="AF47">
        <v>6.66</v>
      </c>
      <c r="AG47">
        <v>0</v>
      </c>
      <c r="AH47">
        <v>0</v>
      </c>
      <c r="AI47">
        <v>1</v>
      </c>
      <c r="AJ47">
        <v>6.61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0.32</v>
      </c>
      <c r="AU47" t="s">
        <v>3</v>
      </c>
      <c r="AV47">
        <v>0</v>
      </c>
      <c r="AW47">
        <v>2</v>
      </c>
      <c r="AX47">
        <v>39617428</v>
      </c>
      <c r="AY47">
        <v>1</v>
      </c>
      <c r="AZ47">
        <v>0</v>
      </c>
      <c r="BA47">
        <v>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Y47*Source!I48</f>
        <v>0.10560000000000001</v>
      </c>
      <c r="CY47">
        <f>AB47</f>
        <v>44.02</v>
      </c>
      <c r="CZ47">
        <f>AF47</f>
        <v>6.66</v>
      </c>
      <c r="DA47">
        <f>AJ47</f>
        <v>6.61</v>
      </c>
      <c r="DB47">
        <v>0</v>
      </c>
    </row>
    <row r="48" spans="1:106" x14ac:dyDescent="0.2">
      <c r="A48">
        <f>ROW(Source!A48)</f>
        <v>48</v>
      </c>
      <c r="B48">
        <v>39616881</v>
      </c>
      <c r="C48">
        <v>39617426</v>
      </c>
      <c r="D48">
        <v>36807374</v>
      </c>
      <c r="E48">
        <v>1</v>
      </c>
      <c r="F48">
        <v>1</v>
      </c>
      <c r="G48">
        <v>1</v>
      </c>
      <c r="H48">
        <v>3</v>
      </c>
      <c r="I48" t="s">
        <v>509</v>
      </c>
      <c r="J48" t="s">
        <v>510</v>
      </c>
      <c r="K48" t="s">
        <v>511</v>
      </c>
      <c r="L48">
        <v>1339</v>
      </c>
      <c r="N48">
        <v>1007</v>
      </c>
      <c r="O48" t="s">
        <v>119</v>
      </c>
      <c r="P48" t="s">
        <v>119</v>
      </c>
      <c r="Q48">
        <v>1</v>
      </c>
      <c r="W48">
        <v>0</v>
      </c>
      <c r="X48">
        <v>-861814431</v>
      </c>
      <c r="Y48">
        <v>0.24</v>
      </c>
      <c r="AA48">
        <v>3435.88</v>
      </c>
      <c r="AB48">
        <v>0</v>
      </c>
      <c r="AC48">
        <v>0</v>
      </c>
      <c r="AD48">
        <v>0</v>
      </c>
      <c r="AE48">
        <v>519.79999999999995</v>
      </c>
      <c r="AF48">
        <v>0</v>
      </c>
      <c r="AG48">
        <v>0</v>
      </c>
      <c r="AH48">
        <v>0</v>
      </c>
      <c r="AI48">
        <v>6.61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0.24</v>
      </c>
      <c r="AU48" t="s">
        <v>3</v>
      </c>
      <c r="AV48">
        <v>0</v>
      </c>
      <c r="AW48">
        <v>2</v>
      </c>
      <c r="AX48">
        <v>39617429</v>
      </c>
      <c r="AY48">
        <v>1</v>
      </c>
      <c r="AZ48">
        <v>0</v>
      </c>
      <c r="BA48">
        <v>49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Y48*Source!I48</f>
        <v>7.9200000000000007E-2</v>
      </c>
      <c r="CY48">
        <f>AA48</f>
        <v>3435.88</v>
      </c>
      <c r="CZ48">
        <f>AE48</f>
        <v>519.79999999999995</v>
      </c>
      <c r="DA48">
        <f>AI48</f>
        <v>6.61</v>
      </c>
      <c r="DB48">
        <v>0</v>
      </c>
    </row>
    <row r="49" spans="1:106" x14ac:dyDescent="0.2">
      <c r="A49">
        <f>ROW(Source!A48)</f>
        <v>48</v>
      </c>
      <c r="B49">
        <v>39616881</v>
      </c>
      <c r="C49">
        <v>39617426</v>
      </c>
      <c r="D49">
        <v>36821422</v>
      </c>
      <c r="E49">
        <v>1</v>
      </c>
      <c r="F49">
        <v>1</v>
      </c>
      <c r="G49">
        <v>1</v>
      </c>
      <c r="H49">
        <v>3</v>
      </c>
      <c r="I49" t="s">
        <v>124</v>
      </c>
      <c r="J49" t="s">
        <v>126</v>
      </c>
      <c r="K49" t="s">
        <v>125</v>
      </c>
      <c r="L49">
        <v>1339</v>
      </c>
      <c r="N49">
        <v>1007</v>
      </c>
      <c r="O49" t="s">
        <v>119</v>
      </c>
      <c r="P49" t="s">
        <v>119</v>
      </c>
      <c r="Q49">
        <v>1</v>
      </c>
      <c r="W49">
        <v>0</v>
      </c>
      <c r="X49">
        <v>1251690205</v>
      </c>
      <c r="Y49">
        <v>1</v>
      </c>
      <c r="AA49">
        <v>683.54</v>
      </c>
      <c r="AB49">
        <v>0</v>
      </c>
      <c r="AC49">
        <v>0</v>
      </c>
      <c r="AD49">
        <v>0</v>
      </c>
      <c r="AE49">
        <v>103.41</v>
      </c>
      <c r="AF49">
        <v>0</v>
      </c>
      <c r="AG49">
        <v>0</v>
      </c>
      <c r="AH49">
        <v>0</v>
      </c>
      <c r="AI49">
        <v>6.61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</v>
      </c>
      <c r="AU49" t="s">
        <v>3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Y49*Source!I48</f>
        <v>0.33</v>
      </c>
      <c r="CY49">
        <f>AA49</f>
        <v>683.54</v>
      </c>
      <c r="CZ49">
        <f>AE49</f>
        <v>103.41</v>
      </c>
      <c r="DA49">
        <f>AI49</f>
        <v>6.61</v>
      </c>
      <c r="DB49">
        <v>0</v>
      </c>
    </row>
    <row r="50" spans="1:106" x14ac:dyDescent="0.2">
      <c r="A50">
        <f>ROW(Source!A50)</f>
        <v>50</v>
      </c>
      <c r="B50">
        <v>39616881</v>
      </c>
      <c r="C50">
        <v>39617815</v>
      </c>
      <c r="D50">
        <v>37068148</v>
      </c>
      <c r="E50">
        <v>1</v>
      </c>
      <c r="F50">
        <v>1</v>
      </c>
      <c r="G50">
        <v>1</v>
      </c>
      <c r="H50">
        <v>1</v>
      </c>
      <c r="I50" t="s">
        <v>512</v>
      </c>
      <c r="J50" t="s">
        <v>3</v>
      </c>
      <c r="K50" t="s">
        <v>513</v>
      </c>
      <c r="L50">
        <v>1191</v>
      </c>
      <c r="N50">
        <v>1013</v>
      </c>
      <c r="O50" t="s">
        <v>459</v>
      </c>
      <c r="P50" t="s">
        <v>459</v>
      </c>
      <c r="Q50">
        <v>1</v>
      </c>
      <c r="W50">
        <v>0</v>
      </c>
      <c r="X50">
        <v>371339561</v>
      </c>
      <c r="Y50">
        <v>75.22</v>
      </c>
      <c r="AA50">
        <v>0</v>
      </c>
      <c r="AB50">
        <v>0</v>
      </c>
      <c r="AC50">
        <v>0</v>
      </c>
      <c r="AD50">
        <v>53.47</v>
      </c>
      <c r="AE50">
        <v>0</v>
      </c>
      <c r="AF50">
        <v>0</v>
      </c>
      <c r="AG50">
        <v>0</v>
      </c>
      <c r="AH50">
        <v>8.09</v>
      </c>
      <c r="AI50">
        <v>1</v>
      </c>
      <c r="AJ50">
        <v>1</v>
      </c>
      <c r="AK50">
        <v>1</v>
      </c>
      <c r="AL50">
        <v>6.61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75.22</v>
      </c>
      <c r="AU50" t="s">
        <v>3</v>
      </c>
      <c r="AV50">
        <v>1</v>
      </c>
      <c r="AW50">
        <v>2</v>
      </c>
      <c r="AX50">
        <v>39617816</v>
      </c>
      <c r="AY50">
        <v>1</v>
      </c>
      <c r="AZ50">
        <v>0</v>
      </c>
      <c r="BA50">
        <v>51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Y50*Source!I50</f>
        <v>25.386750000000003</v>
      </c>
      <c r="CY50">
        <f>AD50</f>
        <v>53.47</v>
      </c>
      <c r="CZ50">
        <f>AH50</f>
        <v>8.09</v>
      </c>
      <c r="DA50">
        <f>AL50</f>
        <v>6.61</v>
      </c>
      <c r="DB50">
        <v>0</v>
      </c>
    </row>
    <row r="51" spans="1:106" x14ac:dyDescent="0.2">
      <c r="A51">
        <f>ROW(Source!A50)</f>
        <v>50</v>
      </c>
      <c r="B51">
        <v>39616881</v>
      </c>
      <c r="C51">
        <v>39617815</v>
      </c>
      <c r="D51">
        <v>37064876</v>
      </c>
      <c r="E51">
        <v>1</v>
      </c>
      <c r="F51">
        <v>1</v>
      </c>
      <c r="G51">
        <v>1</v>
      </c>
      <c r="H51">
        <v>1</v>
      </c>
      <c r="I51" t="s">
        <v>460</v>
      </c>
      <c r="J51" t="s">
        <v>3</v>
      </c>
      <c r="K51" t="s">
        <v>461</v>
      </c>
      <c r="L51">
        <v>1191</v>
      </c>
      <c r="N51">
        <v>1013</v>
      </c>
      <c r="O51" t="s">
        <v>459</v>
      </c>
      <c r="P51" t="s">
        <v>459</v>
      </c>
      <c r="Q51">
        <v>1</v>
      </c>
      <c r="W51">
        <v>0</v>
      </c>
      <c r="X51">
        <v>-1417349443</v>
      </c>
      <c r="Y51">
        <v>0.4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6.61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0.4</v>
      </c>
      <c r="AU51" t="s">
        <v>3</v>
      </c>
      <c r="AV51">
        <v>2</v>
      </c>
      <c r="AW51">
        <v>2</v>
      </c>
      <c r="AX51">
        <v>39617817</v>
      </c>
      <c r="AY51">
        <v>1</v>
      </c>
      <c r="AZ51">
        <v>0</v>
      </c>
      <c r="BA51">
        <v>52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Y51*Source!I50</f>
        <v>0.13500000000000001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ROW(Source!A50)</f>
        <v>50</v>
      </c>
      <c r="B52">
        <v>39616881</v>
      </c>
      <c r="C52">
        <v>39617815</v>
      </c>
      <c r="D52">
        <v>36882356</v>
      </c>
      <c r="E52">
        <v>1</v>
      </c>
      <c r="F52">
        <v>1</v>
      </c>
      <c r="G52">
        <v>1</v>
      </c>
      <c r="H52">
        <v>2</v>
      </c>
      <c r="I52" t="s">
        <v>514</v>
      </c>
      <c r="J52" t="s">
        <v>515</v>
      </c>
      <c r="K52" t="s">
        <v>516</v>
      </c>
      <c r="L52">
        <v>1368</v>
      </c>
      <c r="N52">
        <v>1011</v>
      </c>
      <c r="O52" t="s">
        <v>465</v>
      </c>
      <c r="P52" t="s">
        <v>465</v>
      </c>
      <c r="Q52">
        <v>1</v>
      </c>
      <c r="W52">
        <v>0</v>
      </c>
      <c r="X52">
        <v>1047452784</v>
      </c>
      <c r="Y52">
        <v>0.21</v>
      </c>
      <c r="AA52">
        <v>0</v>
      </c>
      <c r="AB52">
        <v>11.24</v>
      </c>
      <c r="AC52">
        <v>0</v>
      </c>
      <c r="AD52">
        <v>0</v>
      </c>
      <c r="AE52">
        <v>0</v>
      </c>
      <c r="AF52">
        <v>1.7</v>
      </c>
      <c r="AG52">
        <v>0</v>
      </c>
      <c r="AH52">
        <v>0</v>
      </c>
      <c r="AI52">
        <v>1</v>
      </c>
      <c r="AJ52">
        <v>6.61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0.21</v>
      </c>
      <c r="AU52" t="s">
        <v>3</v>
      </c>
      <c r="AV52">
        <v>0</v>
      </c>
      <c r="AW52">
        <v>2</v>
      </c>
      <c r="AX52">
        <v>39617818</v>
      </c>
      <c r="AY52">
        <v>1</v>
      </c>
      <c r="AZ52">
        <v>0</v>
      </c>
      <c r="BA52">
        <v>53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Y52*Source!I50</f>
        <v>7.0875000000000007E-2</v>
      </c>
      <c r="CY52">
        <f>AB52</f>
        <v>11.24</v>
      </c>
      <c r="CZ52">
        <f>AF52</f>
        <v>1.7</v>
      </c>
      <c r="DA52">
        <f>AJ52</f>
        <v>6.61</v>
      </c>
      <c r="DB52">
        <v>0</v>
      </c>
    </row>
    <row r="53" spans="1:106" x14ac:dyDescent="0.2">
      <c r="A53">
        <f>ROW(Source!A50)</f>
        <v>50</v>
      </c>
      <c r="B53">
        <v>39616881</v>
      </c>
      <c r="C53">
        <v>39617815</v>
      </c>
      <c r="D53">
        <v>36883554</v>
      </c>
      <c r="E53">
        <v>1</v>
      </c>
      <c r="F53">
        <v>1</v>
      </c>
      <c r="G53">
        <v>1</v>
      </c>
      <c r="H53">
        <v>2</v>
      </c>
      <c r="I53" t="s">
        <v>468</v>
      </c>
      <c r="J53" t="s">
        <v>469</v>
      </c>
      <c r="K53" t="s">
        <v>470</v>
      </c>
      <c r="L53">
        <v>1368</v>
      </c>
      <c r="N53">
        <v>1011</v>
      </c>
      <c r="O53" t="s">
        <v>465</v>
      </c>
      <c r="P53" t="s">
        <v>465</v>
      </c>
      <c r="Q53">
        <v>1</v>
      </c>
      <c r="W53">
        <v>0</v>
      </c>
      <c r="X53">
        <v>1372534845</v>
      </c>
      <c r="Y53">
        <v>0.4</v>
      </c>
      <c r="AA53">
        <v>0</v>
      </c>
      <c r="AB53">
        <v>434.34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6.61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0.4</v>
      </c>
      <c r="AU53" t="s">
        <v>3</v>
      </c>
      <c r="AV53">
        <v>0</v>
      </c>
      <c r="AW53">
        <v>2</v>
      </c>
      <c r="AX53">
        <v>39617819</v>
      </c>
      <c r="AY53">
        <v>1</v>
      </c>
      <c r="AZ53">
        <v>0</v>
      </c>
      <c r="BA53">
        <v>54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Y53*Source!I50</f>
        <v>0.13500000000000001</v>
      </c>
      <c r="CY53">
        <f>AB53</f>
        <v>434.34</v>
      </c>
      <c r="CZ53">
        <f>AF53</f>
        <v>65.709999999999994</v>
      </c>
      <c r="DA53">
        <f>AJ53</f>
        <v>6.61</v>
      </c>
      <c r="DB53">
        <v>0</v>
      </c>
    </row>
    <row r="54" spans="1:106" x14ac:dyDescent="0.2">
      <c r="A54">
        <f>ROW(Source!A50)</f>
        <v>50</v>
      </c>
      <c r="B54">
        <v>39616881</v>
      </c>
      <c r="C54">
        <v>39617815</v>
      </c>
      <c r="D54">
        <v>36801792</v>
      </c>
      <c r="E54">
        <v>1</v>
      </c>
      <c r="F54">
        <v>1</v>
      </c>
      <c r="G54">
        <v>1</v>
      </c>
      <c r="H54">
        <v>3</v>
      </c>
      <c r="I54" t="s">
        <v>476</v>
      </c>
      <c r="J54" t="s">
        <v>477</v>
      </c>
      <c r="K54" t="s">
        <v>478</v>
      </c>
      <c r="L54">
        <v>1339</v>
      </c>
      <c r="N54">
        <v>1007</v>
      </c>
      <c r="O54" t="s">
        <v>119</v>
      </c>
      <c r="P54" t="s">
        <v>119</v>
      </c>
      <c r="Q54">
        <v>1</v>
      </c>
      <c r="W54">
        <v>0</v>
      </c>
      <c r="X54">
        <v>-1660354250</v>
      </c>
      <c r="Y54">
        <v>1.37E-2</v>
      </c>
      <c r="AA54">
        <v>16.13</v>
      </c>
      <c r="AB54">
        <v>0</v>
      </c>
      <c r="AC54">
        <v>0</v>
      </c>
      <c r="AD54">
        <v>0</v>
      </c>
      <c r="AE54">
        <v>2.44</v>
      </c>
      <c r="AF54">
        <v>0</v>
      </c>
      <c r="AG54">
        <v>0</v>
      </c>
      <c r="AH54">
        <v>0</v>
      </c>
      <c r="AI54">
        <v>6.61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1.37E-2</v>
      </c>
      <c r="AU54" t="s">
        <v>3</v>
      </c>
      <c r="AV54">
        <v>0</v>
      </c>
      <c r="AW54">
        <v>2</v>
      </c>
      <c r="AX54">
        <v>39617820</v>
      </c>
      <c r="AY54">
        <v>1</v>
      </c>
      <c r="AZ54">
        <v>0</v>
      </c>
      <c r="BA54">
        <v>55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Y54*Source!I50</f>
        <v>4.6237500000000003E-3</v>
      </c>
      <c r="CY54">
        <f t="shared" ref="CY54:CY61" si="3">AA54</f>
        <v>16.13</v>
      </c>
      <c r="CZ54">
        <f t="shared" ref="CZ54:CZ61" si="4">AE54</f>
        <v>2.44</v>
      </c>
      <c r="DA54">
        <f t="shared" ref="DA54:DA61" si="5">AI54</f>
        <v>6.61</v>
      </c>
      <c r="DB54">
        <v>0</v>
      </c>
    </row>
    <row r="55" spans="1:106" x14ac:dyDescent="0.2">
      <c r="A55">
        <f>ROW(Source!A50)</f>
        <v>50</v>
      </c>
      <c r="B55">
        <v>39616881</v>
      </c>
      <c r="C55">
        <v>39617815</v>
      </c>
      <c r="D55">
        <v>36804545</v>
      </c>
      <c r="E55">
        <v>1</v>
      </c>
      <c r="F55">
        <v>1</v>
      </c>
      <c r="G55">
        <v>1</v>
      </c>
      <c r="H55">
        <v>3</v>
      </c>
      <c r="I55" t="s">
        <v>517</v>
      </c>
      <c r="J55" t="s">
        <v>518</v>
      </c>
      <c r="K55" t="s">
        <v>519</v>
      </c>
      <c r="L55">
        <v>1348</v>
      </c>
      <c r="N55">
        <v>1009</v>
      </c>
      <c r="O55" t="s">
        <v>72</v>
      </c>
      <c r="P55" t="s">
        <v>72</v>
      </c>
      <c r="Q55">
        <v>1000</v>
      </c>
      <c r="W55">
        <v>0</v>
      </c>
      <c r="X55">
        <v>1174701286</v>
      </c>
      <c r="Y55">
        <v>5.8999999999999999E-3</v>
      </c>
      <c r="AA55">
        <v>79174.58</v>
      </c>
      <c r="AB55">
        <v>0</v>
      </c>
      <c r="AC55">
        <v>0</v>
      </c>
      <c r="AD55">
        <v>0</v>
      </c>
      <c r="AE55">
        <v>11978</v>
      </c>
      <c r="AF55">
        <v>0</v>
      </c>
      <c r="AG55">
        <v>0</v>
      </c>
      <c r="AH55">
        <v>0</v>
      </c>
      <c r="AI55">
        <v>6.61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5.8999999999999999E-3</v>
      </c>
      <c r="AU55" t="s">
        <v>3</v>
      </c>
      <c r="AV55">
        <v>0</v>
      </c>
      <c r="AW55">
        <v>2</v>
      </c>
      <c r="AX55">
        <v>39617821</v>
      </c>
      <c r="AY55">
        <v>1</v>
      </c>
      <c r="AZ55">
        <v>0</v>
      </c>
      <c r="BA55">
        <v>56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Y55*Source!I50</f>
        <v>1.99125E-3</v>
      </c>
      <c r="CY55">
        <f t="shared" si="3"/>
        <v>79174.58</v>
      </c>
      <c r="CZ55">
        <f t="shared" si="4"/>
        <v>11978</v>
      </c>
      <c r="DA55">
        <f t="shared" si="5"/>
        <v>6.61</v>
      </c>
      <c r="DB55">
        <v>0</v>
      </c>
    </row>
    <row r="56" spans="1:106" x14ac:dyDescent="0.2">
      <c r="A56">
        <f>ROW(Source!A50)</f>
        <v>50</v>
      </c>
      <c r="B56">
        <v>39616881</v>
      </c>
      <c r="C56">
        <v>39617815</v>
      </c>
      <c r="D56">
        <v>36806520</v>
      </c>
      <c r="E56">
        <v>1</v>
      </c>
      <c r="F56">
        <v>1</v>
      </c>
      <c r="G56">
        <v>1</v>
      </c>
      <c r="H56">
        <v>3</v>
      </c>
      <c r="I56" t="s">
        <v>520</v>
      </c>
      <c r="J56" t="s">
        <v>521</v>
      </c>
      <c r="K56" t="s">
        <v>522</v>
      </c>
      <c r="L56">
        <v>1348</v>
      </c>
      <c r="N56">
        <v>1009</v>
      </c>
      <c r="O56" t="s">
        <v>72</v>
      </c>
      <c r="P56" t="s">
        <v>72</v>
      </c>
      <c r="Q56">
        <v>1000</v>
      </c>
      <c r="W56">
        <v>0</v>
      </c>
      <c r="X56">
        <v>36820162</v>
      </c>
      <c r="Y56">
        <v>4.8999999999999998E-3</v>
      </c>
      <c r="AA56">
        <v>4855.05</v>
      </c>
      <c r="AB56">
        <v>0</v>
      </c>
      <c r="AC56">
        <v>0</v>
      </c>
      <c r="AD56">
        <v>0</v>
      </c>
      <c r="AE56">
        <v>734.5</v>
      </c>
      <c r="AF56">
        <v>0</v>
      </c>
      <c r="AG56">
        <v>0</v>
      </c>
      <c r="AH56">
        <v>0</v>
      </c>
      <c r="AI56">
        <v>6.61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4.8999999999999998E-3</v>
      </c>
      <c r="AU56" t="s">
        <v>3</v>
      </c>
      <c r="AV56">
        <v>0</v>
      </c>
      <c r="AW56">
        <v>2</v>
      </c>
      <c r="AX56">
        <v>39617822</v>
      </c>
      <c r="AY56">
        <v>1</v>
      </c>
      <c r="AZ56">
        <v>0</v>
      </c>
      <c r="BA56">
        <v>57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Y56*Source!I50</f>
        <v>1.6537500000000001E-3</v>
      </c>
      <c r="CY56">
        <f t="shared" si="3"/>
        <v>4855.05</v>
      </c>
      <c r="CZ56">
        <f t="shared" si="4"/>
        <v>734.5</v>
      </c>
      <c r="DA56">
        <f t="shared" si="5"/>
        <v>6.61</v>
      </c>
      <c r="DB56">
        <v>0</v>
      </c>
    </row>
    <row r="57" spans="1:106" x14ac:dyDescent="0.2">
      <c r="A57">
        <f>ROW(Source!A50)</f>
        <v>50</v>
      </c>
      <c r="B57">
        <v>39616881</v>
      </c>
      <c r="C57">
        <v>39617815</v>
      </c>
      <c r="D57">
        <v>36796386</v>
      </c>
      <c r="E57">
        <v>17</v>
      </c>
      <c r="F57">
        <v>1</v>
      </c>
      <c r="G57">
        <v>1</v>
      </c>
      <c r="H57">
        <v>3</v>
      </c>
      <c r="I57" t="s">
        <v>136</v>
      </c>
      <c r="J57" t="s">
        <v>3</v>
      </c>
      <c r="K57" t="s">
        <v>137</v>
      </c>
      <c r="L57">
        <v>1339</v>
      </c>
      <c r="N57">
        <v>1007</v>
      </c>
      <c r="O57" t="s">
        <v>119</v>
      </c>
      <c r="P57" t="s">
        <v>119</v>
      </c>
      <c r="Q57">
        <v>1</v>
      </c>
      <c r="W57">
        <v>0</v>
      </c>
      <c r="X57">
        <v>-792076634</v>
      </c>
      <c r="Y57">
        <v>1.04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6.61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1.04</v>
      </c>
      <c r="AU57" t="s">
        <v>3</v>
      </c>
      <c r="AV57">
        <v>0</v>
      </c>
      <c r="AW57">
        <v>2</v>
      </c>
      <c r="AX57">
        <v>39617823</v>
      </c>
      <c r="AY57">
        <v>1</v>
      </c>
      <c r="AZ57">
        <v>0</v>
      </c>
      <c r="BA57">
        <v>58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Y57*Source!I50</f>
        <v>0.35100000000000003</v>
      </c>
      <c r="CY57">
        <f t="shared" si="3"/>
        <v>0</v>
      </c>
      <c r="CZ57">
        <f t="shared" si="4"/>
        <v>0</v>
      </c>
      <c r="DA57">
        <f t="shared" si="5"/>
        <v>6.61</v>
      </c>
      <c r="DB57">
        <v>0</v>
      </c>
    </row>
    <row r="58" spans="1:106" x14ac:dyDescent="0.2">
      <c r="A58">
        <f>ROW(Source!A50)</f>
        <v>50</v>
      </c>
      <c r="B58">
        <v>39616881</v>
      </c>
      <c r="C58">
        <v>39617815</v>
      </c>
      <c r="D58">
        <v>36807343</v>
      </c>
      <c r="E58">
        <v>1</v>
      </c>
      <c r="F58">
        <v>1</v>
      </c>
      <c r="G58">
        <v>1</v>
      </c>
      <c r="H58">
        <v>3</v>
      </c>
      <c r="I58" t="s">
        <v>132</v>
      </c>
      <c r="J58" t="s">
        <v>134</v>
      </c>
      <c r="K58" t="s">
        <v>133</v>
      </c>
      <c r="L58">
        <v>1339</v>
      </c>
      <c r="N58">
        <v>1007</v>
      </c>
      <c r="O58" t="s">
        <v>119</v>
      </c>
      <c r="P58" t="s">
        <v>119</v>
      </c>
      <c r="Q58">
        <v>1</v>
      </c>
      <c r="W58">
        <v>0</v>
      </c>
      <c r="X58">
        <v>-1970722706</v>
      </c>
      <c r="Y58">
        <v>1.04</v>
      </c>
      <c r="AA58">
        <v>3624.26</v>
      </c>
      <c r="AB58">
        <v>0</v>
      </c>
      <c r="AC58">
        <v>0</v>
      </c>
      <c r="AD58">
        <v>0</v>
      </c>
      <c r="AE58">
        <v>548.29999999999995</v>
      </c>
      <c r="AF58">
        <v>0</v>
      </c>
      <c r="AG58">
        <v>0</v>
      </c>
      <c r="AH58">
        <v>0</v>
      </c>
      <c r="AI58">
        <v>6.61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3</v>
      </c>
      <c r="AT58">
        <v>1.04</v>
      </c>
      <c r="AU58" t="s">
        <v>3</v>
      </c>
      <c r="AV58">
        <v>0</v>
      </c>
      <c r="AW58">
        <v>1</v>
      </c>
      <c r="AX58">
        <v>-1</v>
      </c>
      <c r="AY58">
        <v>0</v>
      </c>
      <c r="AZ58">
        <v>0</v>
      </c>
      <c r="BA58" t="s">
        <v>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Y58*Source!I50</f>
        <v>0.35100000000000003</v>
      </c>
      <c r="CY58">
        <f t="shared" si="3"/>
        <v>3624.26</v>
      </c>
      <c r="CZ58">
        <f t="shared" si="4"/>
        <v>548.29999999999995</v>
      </c>
      <c r="DA58">
        <f t="shared" si="5"/>
        <v>6.61</v>
      </c>
      <c r="DB58">
        <v>0</v>
      </c>
    </row>
    <row r="59" spans="1:106" x14ac:dyDescent="0.2">
      <c r="A59">
        <f>ROW(Source!A50)</f>
        <v>50</v>
      </c>
      <c r="B59">
        <v>39616881</v>
      </c>
      <c r="C59">
        <v>39617815</v>
      </c>
      <c r="D59">
        <v>36825646</v>
      </c>
      <c r="E59">
        <v>1</v>
      </c>
      <c r="F59">
        <v>1</v>
      </c>
      <c r="G59">
        <v>1</v>
      </c>
      <c r="H59">
        <v>3</v>
      </c>
      <c r="I59" t="s">
        <v>523</v>
      </c>
      <c r="J59" t="s">
        <v>524</v>
      </c>
      <c r="K59" t="s">
        <v>525</v>
      </c>
      <c r="L59">
        <v>1348</v>
      </c>
      <c r="N59">
        <v>1009</v>
      </c>
      <c r="O59" t="s">
        <v>72</v>
      </c>
      <c r="P59" t="s">
        <v>72</v>
      </c>
      <c r="Q59">
        <v>1000</v>
      </c>
      <c r="W59">
        <v>0</v>
      </c>
      <c r="X59">
        <v>-1396314973</v>
      </c>
      <c r="Y59">
        <v>9.4999999999999998E-3</v>
      </c>
      <c r="AA59">
        <v>29448.87</v>
      </c>
      <c r="AB59">
        <v>0</v>
      </c>
      <c r="AC59">
        <v>0</v>
      </c>
      <c r="AD59">
        <v>0</v>
      </c>
      <c r="AE59">
        <v>4455.2</v>
      </c>
      <c r="AF59">
        <v>0</v>
      </c>
      <c r="AG59">
        <v>0</v>
      </c>
      <c r="AH59">
        <v>0</v>
      </c>
      <c r="AI59">
        <v>6.61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9.4999999999999998E-3</v>
      </c>
      <c r="AU59" t="s">
        <v>3</v>
      </c>
      <c r="AV59">
        <v>0</v>
      </c>
      <c r="AW59">
        <v>2</v>
      </c>
      <c r="AX59">
        <v>39617824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Y59*Source!I50</f>
        <v>3.2062500000000003E-3</v>
      </c>
      <c r="CY59">
        <f t="shared" si="3"/>
        <v>29448.87</v>
      </c>
      <c r="CZ59">
        <f t="shared" si="4"/>
        <v>4455.2</v>
      </c>
      <c r="DA59">
        <f t="shared" si="5"/>
        <v>6.61</v>
      </c>
      <c r="DB59">
        <v>0</v>
      </c>
    </row>
    <row r="60" spans="1:106" x14ac:dyDescent="0.2">
      <c r="A60">
        <f>ROW(Source!A50)</f>
        <v>50</v>
      </c>
      <c r="B60">
        <v>39616881</v>
      </c>
      <c r="C60">
        <v>39617815</v>
      </c>
      <c r="D60">
        <v>36830315</v>
      </c>
      <c r="E60">
        <v>1</v>
      </c>
      <c r="F60">
        <v>1</v>
      </c>
      <c r="G60">
        <v>1</v>
      </c>
      <c r="H60">
        <v>3</v>
      </c>
      <c r="I60" t="s">
        <v>526</v>
      </c>
      <c r="J60" t="s">
        <v>527</v>
      </c>
      <c r="K60" t="s">
        <v>528</v>
      </c>
      <c r="L60">
        <v>1339</v>
      </c>
      <c r="N60">
        <v>1007</v>
      </c>
      <c r="O60" t="s">
        <v>119</v>
      </c>
      <c r="P60" t="s">
        <v>119</v>
      </c>
      <c r="Q60">
        <v>1</v>
      </c>
      <c r="W60">
        <v>0</v>
      </c>
      <c r="X60">
        <v>-395792271</v>
      </c>
      <c r="Y60">
        <v>0.21</v>
      </c>
      <c r="AA60">
        <v>8507.07</v>
      </c>
      <c r="AB60">
        <v>0</v>
      </c>
      <c r="AC60">
        <v>0</v>
      </c>
      <c r="AD60">
        <v>0</v>
      </c>
      <c r="AE60">
        <v>1287</v>
      </c>
      <c r="AF60">
        <v>0</v>
      </c>
      <c r="AG60">
        <v>0</v>
      </c>
      <c r="AH60">
        <v>0</v>
      </c>
      <c r="AI60">
        <v>6.61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0.21</v>
      </c>
      <c r="AU60" t="s">
        <v>3</v>
      </c>
      <c r="AV60">
        <v>0</v>
      </c>
      <c r="AW60">
        <v>2</v>
      </c>
      <c r="AX60">
        <v>39617825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Y60*Source!I50</f>
        <v>7.0875000000000007E-2</v>
      </c>
      <c r="CY60">
        <f t="shared" si="3"/>
        <v>8507.07</v>
      </c>
      <c r="CZ60">
        <f t="shared" si="4"/>
        <v>1287</v>
      </c>
      <c r="DA60">
        <f t="shared" si="5"/>
        <v>6.61</v>
      </c>
      <c r="DB60">
        <v>0</v>
      </c>
    </row>
    <row r="61" spans="1:106" x14ac:dyDescent="0.2">
      <c r="A61">
        <f>ROW(Source!A50)</f>
        <v>50</v>
      </c>
      <c r="B61">
        <v>39616881</v>
      </c>
      <c r="C61">
        <v>39617815</v>
      </c>
      <c r="D61">
        <v>36830505</v>
      </c>
      <c r="E61">
        <v>1</v>
      </c>
      <c r="F61">
        <v>1</v>
      </c>
      <c r="G61">
        <v>1</v>
      </c>
      <c r="H61">
        <v>3</v>
      </c>
      <c r="I61" t="s">
        <v>529</v>
      </c>
      <c r="J61" t="s">
        <v>530</v>
      </c>
      <c r="K61" t="s">
        <v>531</v>
      </c>
      <c r="L61">
        <v>1339</v>
      </c>
      <c r="N61">
        <v>1007</v>
      </c>
      <c r="O61" t="s">
        <v>119</v>
      </c>
      <c r="P61" t="s">
        <v>119</v>
      </c>
      <c r="Q61">
        <v>1</v>
      </c>
      <c r="W61">
        <v>0</v>
      </c>
      <c r="X61">
        <v>-828683394</v>
      </c>
      <c r="Y61">
        <v>0.18</v>
      </c>
      <c r="AA61">
        <v>7634.55</v>
      </c>
      <c r="AB61">
        <v>0</v>
      </c>
      <c r="AC61">
        <v>0</v>
      </c>
      <c r="AD61">
        <v>0</v>
      </c>
      <c r="AE61">
        <v>1155</v>
      </c>
      <c r="AF61">
        <v>0</v>
      </c>
      <c r="AG61">
        <v>0</v>
      </c>
      <c r="AH61">
        <v>0</v>
      </c>
      <c r="AI61">
        <v>6.61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0.18</v>
      </c>
      <c r="AU61" t="s">
        <v>3</v>
      </c>
      <c r="AV61">
        <v>0</v>
      </c>
      <c r="AW61">
        <v>2</v>
      </c>
      <c r="AX61">
        <v>39617826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Y61*Source!I50</f>
        <v>6.0749999999999998E-2</v>
      </c>
      <c r="CY61">
        <f t="shared" si="3"/>
        <v>7634.55</v>
      </c>
      <c r="CZ61">
        <f t="shared" si="4"/>
        <v>1155</v>
      </c>
      <c r="DA61">
        <f t="shared" si="5"/>
        <v>6.61</v>
      </c>
      <c r="DB61">
        <v>0</v>
      </c>
    </row>
    <row r="62" spans="1:106" x14ac:dyDescent="0.2">
      <c r="A62">
        <f>ROW(Source!A53)</f>
        <v>53</v>
      </c>
      <c r="B62">
        <v>39616881</v>
      </c>
      <c r="C62">
        <v>39617830</v>
      </c>
      <c r="D62">
        <v>37065248</v>
      </c>
      <c r="E62">
        <v>1</v>
      </c>
      <c r="F62">
        <v>1</v>
      </c>
      <c r="G62">
        <v>1</v>
      </c>
      <c r="H62">
        <v>1</v>
      </c>
      <c r="I62" t="s">
        <v>474</v>
      </c>
      <c r="J62" t="s">
        <v>3</v>
      </c>
      <c r="K62" t="s">
        <v>475</v>
      </c>
      <c r="L62">
        <v>1191</v>
      </c>
      <c r="N62">
        <v>1013</v>
      </c>
      <c r="O62" t="s">
        <v>459</v>
      </c>
      <c r="P62" t="s">
        <v>459</v>
      </c>
      <c r="Q62">
        <v>1</v>
      </c>
      <c r="W62">
        <v>0</v>
      </c>
      <c r="X62">
        <v>-400197608</v>
      </c>
      <c r="Y62">
        <v>37.363500000000002</v>
      </c>
      <c r="AA62">
        <v>0</v>
      </c>
      <c r="AB62">
        <v>0</v>
      </c>
      <c r="AC62">
        <v>0</v>
      </c>
      <c r="AD62">
        <v>56.38</v>
      </c>
      <c r="AE62">
        <v>0</v>
      </c>
      <c r="AF62">
        <v>0</v>
      </c>
      <c r="AG62">
        <v>0</v>
      </c>
      <c r="AH62">
        <v>8.5299999999999994</v>
      </c>
      <c r="AI62">
        <v>1</v>
      </c>
      <c r="AJ62">
        <v>1</v>
      </c>
      <c r="AK62">
        <v>1</v>
      </c>
      <c r="AL62">
        <v>6.61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32.49</v>
      </c>
      <c r="AU62" t="s">
        <v>33</v>
      </c>
      <c r="AV62">
        <v>1</v>
      </c>
      <c r="AW62">
        <v>2</v>
      </c>
      <c r="AX62">
        <v>39617831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Y62*Source!I53</f>
        <v>70.766469000000001</v>
      </c>
      <c r="CY62">
        <f>AD62</f>
        <v>56.38</v>
      </c>
      <c r="CZ62">
        <f>AH62</f>
        <v>8.5299999999999994</v>
      </c>
      <c r="DA62">
        <f>AL62</f>
        <v>6.61</v>
      </c>
      <c r="DB62">
        <v>0</v>
      </c>
    </row>
    <row r="63" spans="1:106" x14ac:dyDescent="0.2">
      <c r="A63">
        <f>ROW(Source!A53)</f>
        <v>53</v>
      </c>
      <c r="B63">
        <v>39616881</v>
      </c>
      <c r="C63">
        <v>39617830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460</v>
      </c>
      <c r="J63" t="s">
        <v>3</v>
      </c>
      <c r="K63" t="s">
        <v>461</v>
      </c>
      <c r="L63">
        <v>1191</v>
      </c>
      <c r="N63">
        <v>1013</v>
      </c>
      <c r="O63" t="s">
        <v>459</v>
      </c>
      <c r="P63" t="s">
        <v>459</v>
      </c>
      <c r="Q63">
        <v>1</v>
      </c>
      <c r="W63">
        <v>0</v>
      </c>
      <c r="X63">
        <v>-1417349443</v>
      </c>
      <c r="Y63">
        <v>0.93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6.61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0.93</v>
      </c>
      <c r="AU63" t="s">
        <v>3</v>
      </c>
      <c r="AV63">
        <v>2</v>
      </c>
      <c r="AW63">
        <v>2</v>
      </c>
      <c r="AX63">
        <v>39617832</v>
      </c>
      <c r="AY63">
        <v>1</v>
      </c>
      <c r="AZ63">
        <v>2048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Y63*Source!I53</f>
        <v>1.76142</v>
      </c>
      <c r="CY63">
        <f>AD63</f>
        <v>0</v>
      </c>
      <c r="CZ63">
        <f>AH63</f>
        <v>0</v>
      </c>
      <c r="DA63">
        <f>AL63</f>
        <v>1</v>
      </c>
      <c r="DB63">
        <v>0</v>
      </c>
    </row>
    <row r="64" spans="1:106" x14ac:dyDescent="0.2">
      <c r="A64">
        <f>ROW(Source!A53)</f>
        <v>53</v>
      </c>
      <c r="B64">
        <v>39616881</v>
      </c>
      <c r="C64">
        <v>39617830</v>
      </c>
      <c r="D64">
        <v>36882383</v>
      </c>
      <c r="E64">
        <v>1</v>
      </c>
      <c r="F64">
        <v>1</v>
      </c>
      <c r="G64">
        <v>1</v>
      </c>
      <c r="H64">
        <v>2</v>
      </c>
      <c r="I64" t="s">
        <v>532</v>
      </c>
      <c r="J64" t="s">
        <v>533</v>
      </c>
      <c r="K64" t="s">
        <v>534</v>
      </c>
      <c r="L64">
        <v>1368</v>
      </c>
      <c r="N64">
        <v>1011</v>
      </c>
      <c r="O64" t="s">
        <v>465</v>
      </c>
      <c r="P64" t="s">
        <v>465</v>
      </c>
      <c r="Q64">
        <v>1</v>
      </c>
      <c r="W64">
        <v>0</v>
      </c>
      <c r="X64">
        <v>1225731627</v>
      </c>
      <c r="Y64">
        <v>2.5000000000000001E-2</v>
      </c>
      <c r="AA64">
        <v>0</v>
      </c>
      <c r="AB64">
        <v>594.83000000000004</v>
      </c>
      <c r="AC64">
        <v>10.06</v>
      </c>
      <c r="AD64">
        <v>0</v>
      </c>
      <c r="AE64">
        <v>0</v>
      </c>
      <c r="AF64">
        <v>89.99</v>
      </c>
      <c r="AG64">
        <v>10.06</v>
      </c>
      <c r="AH64">
        <v>0</v>
      </c>
      <c r="AI64">
        <v>1</v>
      </c>
      <c r="AJ64">
        <v>6.61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0.02</v>
      </c>
      <c r="AU64" t="s">
        <v>32</v>
      </c>
      <c r="AV64">
        <v>0</v>
      </c>
      <c r="AW64">
        <v>2</v>
      </c>
      <c r="AX64">
        <v>39617833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Y64*Source!I53</f>
        <v>4.7350000000000003E-2</v>
      </c>
      <c r="CY64">
        <f>AB64</f>
        <v>594.83000000000004</v>
      </c>
      <c r="CZ64">
        <f>AF64</f>
        <v>89.99</v>
      </c>
      <c r="DA64">
        <f>AJ64</f>
        <v>6.61</v>
      </c>
      <c r="DB64">
        <v>0</v>
      </c>
    </row>
    <row r="65" spans="1:106" x14ac:dyDescent="0.2">
      <c r="A65">
        <f>ROW(Source!A53)</f>
        <v>53</v>
      </c>
      <c r="B65">
        <v>39616881</v>
      </c>
      <c r="C65">
        <v>39617830</v>
      </c>
      <c r="D65">
        <v>36882452</v>
      </c>
      <c r="E65">
        <v>1</v>
      </c>
      <c r="F65">
        <v>1</v>
      </c>
      <c r="G65">
        <v>1</v>
      </c>
      <c r="H65">
        <v>2</v>
      </c>
      <c r="I65" t="s">
        <v>462</v>
      </c>
      <c r="J65" t="s">
        <v>463</v>
      </c>
      <c r="K65" t="s">
        <v>464</v>
      </c>
      <c r="L65">
        <v>1368</v>
      </c>
      <c r="N65">
        <v>1011</v>
      </c>
      <c r="O65" t="s">
        <v>465</v>
      </c>
      <c r="P65" t="s">
        <v>465</v>
      </c>
      <c r="Q65">
        <v>1</v>
      </c>
      <c r="W65">
        <v>0</v>
      </c>
      <c r="X65">
        <v>1188625873</v>
      </c>
      <c r="Y65">
        <v>0.26250000000000001</v>
      </c>
      <c r="AA65">
        <v>0</v>
      </c>
      <c r="AB65">
        <v>206.63</v>
      </c>
      <c r="AC65">
        <v>13.5</v>
      </c>
      <c r="AD65">
        <v>0</v>
      </c>
      <c r="AE65">
        <v>0</v>
      </c>
      <c r="AF65">
        <v>31.26</v>
      </c>
      <c r="AG65">
        <v>13.5</v>
      </c>
      <c r="AH65">
        <v>0</v>
      </c>
      <c r="AI65">
        <v>1</v>
      </c>
      <c r="AJ65">
        <v>6.61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0.21</v>
      </c>
      <c r="AU65" t="s">
        <v>32</v>
      </c>
      <c r="AV65">
        <v>0</v>
      </c>
      <c r="AW65">
        <v>2</v>
      </c>
      <c r="AX65">
        <v>39617834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Y65*Source!I53</f>
        <v>0.49717499999999998</v>
      </c>
      <c r="CY65">
        <f>AB65</f>
        <v>206.63</v>
      </c>
      <c r="CZ65">
        <f>AF65</f>
        <v>31.26</v>
      </c>
      <c r="DA65">
        <f>AJ65</f>
        <v>6.61</v>
      </c>
      <c r="DB65">
        <v>0</v>
      </c>
    </row>
    <row r="66" spans="1:106" x14ac:dyDescent="0.2">
      <c r="A66">
        <f>ROW(Source!A53)</f>
        <v>53</v>
      </c>
      <c r="B66">
        <v>39616881</v>
      </c>
      <c r="C66">
        <v>39617830</v>
      </c>
      <c r="D66">
        <v>36882621</v>
      </c>
      <c r="E66">
        <v>1</v>
      </c>
      <c r="F66">
        <v>1</v>
      </c>
      <c r="G66">
        <v>1</v>
      </c>
      <c r="H66">
        <v>2</v>
      </c>
      <c r="I66" t="s">
        <v>535</v>
      </c>
      <c r="J66" t="s">
        <v>536</v>
      </c>
      <c r="K66" t="s">
        <v>537</v>
      </c>
      <c r="L66">
        <v>1368</v>
      </c>
      <c r="N66">
        <v>1011</v>
      </c>
      <c r="O66" t="s">
        <v>465</v>
      </c>
      <c r="P66" t="s">
        <v>465</v>
      </c>
      <c r="Q66">
        <v>1</v>
      </c>
      <c r="W66">
        <v>0</v>
      </c>
      <c r="X66">
        <v>983187852</v>
      </c>
      <c r="Y66">
        <v>0.875</v>
      </c>
      <c r="AA66">
        <v>0</v>
      </c>
      <c r="AB66">
        <v>81.900000000000006</v>
      </c>
      <c r="AC66">
        <v>10.06</v>
      </c>
      <c r="AD66">
        <v>0</v>
      </c>
      <c r="AE66">
        <v>0</v>
      </c>
      <c r="AF66">
        <v>12.39</v>
      </c>
      <c r="AG66">
        <v>10.06</v>
      </c>
      <c r="AH66">
        <v>0</v>
      </c>
      <c r="AI66">
        <v>1</v>
      </c>
      <c r="AJ66">
        <v>6.61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0.7</v>
      </c>
      <c r="AU66" t="s">
        <v>32</v>
      </c>
      <c r="AV66">
        <v>0</v>
      </c>
      <c r="AW66">
        <v>2</v>
      </c>
      <c r="AX66">
        <v>39617835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Y66*Source!I53</f>
        <v>1.6572499999999999</v>
      </c>
      <c r="CY66">
        <f>AB66</f>
        <v>81.900000000000006</v>
      </c>
      <c r="CZ66">
        <f>AF66</f>
        <v>12.39</v>
      </c>
      <c r="DA66">
        <f>AJ66</f>
        <v>6.61</v>
      </c>
      <c r="DB66">
        <v>0</v>
      </c>
    </row>
    <row r="67" spans="1:106" x14ac:dyDescent="0.2">
      <c r="A67">
        <f>ROW(Source!A53)</f>
        <v>53</v>
      </c>
      <c r="B67">
        <v>39616881</v>
      </c>
      <c r="C67">
        <v>39617830</v>
      </c>
      <c r="D67">
        <v>36801792</v>
      </c>
      <c r="E67">
        <v>1</v>
      </c>
      <c r="F67">
        <v>1</v>
      </c>
      <c r="G67">
        <v>1</v>
      </c>
      <c r="H67">
        <v>3</v>
      </c>
      <c r="I67" t="s">
        <v>476</v>
      </c>
      <c r="J67" t="s">
        <v>477</v>
      </c>
      <c r="K67" t="s">
        <v>478</v>
      </c>
      <c r="L67">
        <v>1339</v>
      </c>
      <c r="N67">
        <v>1007</v>
      </c>
      <c r="O67" t="s">
        <v>119</v>
      </c>
      <c r="P67" t="s">
        <v>119</v>
      </c>
      <c r="Q67">
        <v>1</v>
      </c>
      <c r="W67">
        <v>0</v>
      </c>
      <c r="X67">
        <v>-1660354250</v>
      </c>
      <c r="Y67">
        <v>0.51</v>
      </c>
      <c r="AA67">
        <v>16.13</v>
      </c>
      <c r="AB67">
        <v>0</v>
      </c>
      <c r="AC67">
        <v>0</v>
      </c>
      <c r="AD67">
        <v>0</v>
      </c>
      <c r="AE67">
        <v>2.44</v>
      </c>
      <c r="AF67">
        <v>0</v>
      </c>
      <c r="AG67">
        <v>0</v>
      </c>
      <c r="AH67">
        <v>0</v>
      </c>
      <c r="AI67">
        <v>6.61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0.51</v>
      </c>
      <c r="AU67" t="s">
        <v>3</v>
      </c>
      <c r="AV67">
        <v>0</v>
      </c>
      <c r="AW67">
        <v>2</v>
      </c>
      <c r="AX67">
        <v>39617836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Y67*Source!I53</f>
        <v>0.96594000000000002</v>
      </c>
      <c r="CY67">
        <f>AA67</f>
        <v>16.13</v>
      </c>
      <c r="CZ67">
        <f>AE67</f>
        <v>2.44</v>
      </c>
      <c r="DA67">
        <f>AI67</f>
        <v>6.61</v>
      </c>
      <c r="DB67">
        <v>0</v>
      </c>
    </row>
    <row r="68" spans="1:106" x14ac:dyDescent="0.2">
      <c r="A68">
        <f>ROW(Source!A53)</f>
        <v>53</v>
      </c>
      <c r="B68">
        <v>39616881</v>
      </c>
      <c r="C68">
        <v>39617830</v>
      </c>
      <c r="D68">
        <v>36807508</v>
      </c>
      <c r="E68">
        <v>1</v>
      </c>
      <c r="F68">
        <v>1</v>
      </c>
      <c r="G68">
        <v>1</v>
      </c>
      <c r="H68">
        <v>3</v>
      </c>
      <c r="I68" t="s">
        <v>143</v>
      </c>
      <c r="J68" t="s">
        <v>145</v>
      </c>
      <c r="K68" t="s">
        <v>144</v>
      </c>
      <c r="L68">
        <v>1346</v>
      </c>
      <c r="N68">
        <v>1009</v>
      </c>
      <c r="O68" t="s">
        <v>77</v>
      </c>
      <c r="P68" t="s">
        <v>77</v>
      </c>
      <c r="Q68">
        <v>1</v>
      </c>
      <c r="W68">
        <v>0</v>
      </c>
      <c r="X68">
        <v>-60067644</v>
      </c>
      <c r="Y68">
        <v>850</v>
      </c>
      <c r="AA68">
        <v>13.68</v>
      </c>
      <c r="AB68">
        <v>0</v>
      </c>
      <c r="AC68">
        <v>0</v>
      </c>
      <c r="AD68">
        <v>0</v>
      </c>
      <c r="AE68">
        <v>2.0699999999999998</v>
      </c>
      <c r="AF68">
        <v>0</v>
      </c>
      <c r="AG68">
        <v>0</v>
      </c>
      <c r="AH68">
        <v>0</v>
      </c>
      <c r="AI68">
        <v>6.61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3</v>
      </c>
      <c r="AT68">
        <v>850</v>
      </c>
      <c r="AU68" t="s">
        <v>3</v>
      </c>
      <c r="AV68">
        <v>0</v>
      </c>
      <c r="AW68">
        <v>1</v>
      </c>
      <c r="AX68">
        <v>-1</v>
      </c>
      <c r="AY68">
        <v>0</v>
      </c>
      <c r="AZ68">
        <v>0</v>
      </c>
      <c r="BA68" t="s">
        <v>3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Y68*Source!I53</f>
        <v>1609.8999999999999</v>
      </c>
      <c r="CY68">
        <f>AA68</f>
        <v>13.68</v>
      </c>
      <c r="CZ68">
        <f>AE68</f>
        <v>2.0699999999999998</v>
      </c>
      <c r="DA68">
        <f>AI68</f>
        <v>6.61</v>
      </c>
      <c r="DB68">
        <v>0</v>
      </c>
    </row>
    <row r="69" spans="1:106" x14ac:dyDescent="0.2">
      <c r="A69">
        <f>ROW(Source!A53)</f>
        <v>53</v>
      </c>
      <c r="B69">
        <v>39616881</v>
      </c>
      <c r="C69">
        <v>39617830</v>
      </c>
      <c r="D69">
        <v>36797535</v>
      </c>
      <c r="E69">
        <v>17</v>
      </c>
      <c r="F69">
        <v>1</v>
      </c>
      <c r="G69">
        <v>1</v>
      </c>
      <c r="H69">
        <v>3</v>
      </c>
      <c r="I69" t="s">
        <v>147</v>
      </c>
      <c r="J69" t="s">
        <v>3</v>
      </c>
      <c r="K69" t="s">
        <v>148</v>
      </c>
      <c r="L69">
        <v>1348</v>
      </c>
      <c r="N69">
        <v>1009</v>
      </c>
      <c r="O69" t="s">
        <v>72</v>
      </c>
      <c r="P69" t="s">
        <v>72</v>
      </c>
      <c r="Q69">
        <v>1000</v>
      </c>
      <c r="W69">
        <v>0</v>
      </c>
      <c r="X69">
        <v>1880203204</v>
      </c>
      <c r="Y69">
        <v>0.85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6.61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3</v>
      </c>
      <c r="AT69">
        <v>0.85</v>
      </c>
      <c r="AU69" t="s">
        <v>3</v>
      </c>
      <c r="AV69">
        <v>0</v>
      </c>
      <c r="AW69">
        <v>2</v>
      </c>
      <c r="AX69">
        <v>39617837</v>
      </c>
      <c r="AY69">
        <v>1</v>
      </c>
      <c r="AZ69">
        <v>0</v>
      </c>
      <c r="BA69">
        <v>68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Y69*Source!I53</f>
        <v>1.6098999999999999</v>
      </c>
      <c r="CY69">
        <f>AA69</f>
        <v>0</v>
      </c>
      <c r="CZ69">
        <f>AE69</f>
        <v>0</v>
      </c>
      <c r="DA69">
        <f>AI69</f>
        <v>6.61</v>
      </c>
      <c r="DB69">
        <v>0</v>
      </c>
    </row>
    <row r="70" spans="1:106" x14ac:dyDescent="0.2">
      <c r="A70">
        <f>ROW(Source!A53)</f>
        <v>53</v>
      </c>
      <c r="B70">
        <v>39616881</v>
      </c>
      <c r="C70">
        <v>39617830</v>
      </c>
      <c r="D70">
        <v>36837718</v>
      </c>
      <c r="E70">
        <v>1</v>
      </c>
      <c r="F70">
        <v>1</v>
      </c>
      <c r="G70">
        <v>1</v>
      </c>
      <c r="H70">
        <v>3</v>
      </c>
      <c r="I70" t="s">
        <v>150</v>
      </c>
      <c r="J70" t="s">
        <v>152</v>
      </c>
      <c r="K70" t="s">
        <v>151</v>
      </c>
      <c r="L70">
        <v>1348</v>
      </c>
      <c r="N70">
        <v>1009</v>
      </c>
      <c r="O70" t="s">
        <v>72</v>
      </c>
      <c r="P70" t="s">
        <v>72</v>
      </c>
      <c r="Q70">
        <v>1000</v>
      </c>
      <c r="W70">
        <v>0</v>
      </c>
      <c r="X70">
        <v>-1565467692</v>
      </c>
      <c r="Y70">
        <v>1.2999999999999999E-2</v>
      </c>
      <c r="AA70">
        <v>76642.820000000007</v>
      </c>
      <c r="AB70">
        <v>0</v>
      </c>
      <c r="AC70">
        <v>0</v>
      </c>
      <c r="AD70">
        <v>0</v>
      </c>
      <c r="AE70">
        <v>11594.98</v>
      </c>
      <c r="AF70">
        <v>0</v>
      </c>
      <c r="AG70">
        <v>0</v>
      </c>
      <c r="AH70">
        <v>0</v>
      </c>
      <c r="AI70">
        <v>6.61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1.2999999999999999E-2</v>
      </c>
      <c r="AU70" t="s">
        <v>3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Y70*Source!I53</f>
        <v>2.4621999999999998E-2</v>
      </c>
      <c r="CY70">
        <f>AA70</f>
        <v>76642.820000000007</v>
      </c>
      <c r="CZ70">
        <f>AE70</f>
        <v>11594.98</v>
      </c>
      <c r="DA70">
        <f>AI70</f>
        <v>6.61</v>
      </c>
      <c r="DB70">
        <v>0</v>
      </c>
    </row>
    <row r="71" spans="1:106" x14ac:dyDescent="0.2">
      <c r="A71">
        <f>ROW(Source!A57)</f>
        <v>57</v>
      </c>
      <c r="B71">
        <v>39616881</v>
      </c>
      <c r="C71">
        <v>39617845</v>
      </c>
      <c r="D71">
        <v>37071037</v>
      </c>
      <c r="E71">
        <v>1</v>
      </c>
      <c r="F71">
        <v>1</v>
      </c>
      <c r="G71">
        <v>1</v>
      </c>
      <c r="H71">
        <v>1</v>
      </c>
      <c r="I71" t="s">
        <v>538</v>
      </c>
      <c r="J71" t="s">
        <v>3</v>
      </c>
      <c r="K71" t="s">
        <v>539</v>
      </c>
      <c r="L71">
        <v>1191</v>
      </c>
      <c r="N71">
        <v>1013</v>
      </c>
      <c r="O71" t="s">
        <v>459</v>
      </c>
      <c r="P71" t="s">
        <v>459</v>
      </c>
      <c r="Q71">
        <v>1</v>
      </c>
      <c r="W71">
        <v>0</v>
      </c>
      <c r="X71">
        <v>1069510174</v>
      </c>
      <c r="Y71">
        <v>7.5324999999999989</v>
      </c>
      <c r="AA71">
        <v>0</v>
      </c>
      <c r="AB71">
        <v>0</v>
      </c>
      <c r="AC71">
        <v>0</v>
      </c>
      <c r="AD71">
        <v>63.59</v>
      </c>
      <c r="AE71">
        <v>0</v>
      </c>
      <c r="AF71">
        <v>0</v>
      </c>
      <c r="AG71">
        <v>0</v>
      </c>
      <c r="AH71">
        <v>9.6199999999999992</v>
      </c>
      <c r="AI71">
        <v>1</v>
      </c>
      <c r="AJ71">
        <v>1</v>
      </c>
      <c r="AK71">
        <v>1</v>
      </c>
      <c r="AL71">
        <v>6.61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6.55</v>
      </c>
      <c r="AU71" t="s">
        <v>33</v>
      </c>
      <c r="AV71">
        <v>1</v>
      </c>
      <c r="AW71">
        <v>2</v>
      </c>
      <c r="AX71">
        <v>39617846</v>
      </c>
      <c r="AY71">
        <v>1</v>
      </c>
      <c r="AZ71">
        <v>0</v>
      </c>
      <c r="BA71">
        <v>70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Y71*Source!I57</f>
        <v>14.266554999999997</v>
      </c>
      <c r="CY71">
        <f>AD71</f>
        <v>63.59</v>
      </c>
      <c r="CZ71">
        <f>AH71</f>
        <v>9.6199999999999992</v>
      </c>
      <c r="DA71">
        <f>AL71</f>
        <v>6.61</v>
      </c>
      <c r="DB71">
        <v>0</v>
      </c>
    </row>
    <row r="72" spans="1:106" x14ac:dyDescent="0.2">
      <c r="A72">
        <f>ROW(Source!A57)</f>
        <v>57</v>
      </c>
      <c r="B72">
        <v>39616881</v>
      </c>
      <c r="C72">
        <v>39617845</v>
      </c>
      <c r="D72">
        <v>37064876</v>
      </c>
      <c r="E72">
        <v>1</v>
      </c>
      <c r="F72">
        <v>1</v>
      </c>
      <c r="G72">
        <v>1</v>
      </c>
      <c r="H72">
        <v>1</v>
      </c>
      <c r="I72" t="s">
        <v>460</v>
      </c>
      <c r="J72" t="s">
        <v>3</v>
      </c>
      <c r="K72" t="s">
        <v>461</v>
      </c>
      <c r="L72">
        <v>1191</v>
      </c>
      <c r="N72">
        <v>1013</v>
      </c>
      <c r="O72" t="s">
        <v>459</v>
      </c>
      <c r="P72" t="s">
        <v>459</v>
      </c>
      <c r="Q72">
        <v>1</v>
      </c>
      <c r="W72">
        <v>0</v>
      </c>
      <c r="X72">
        <v>-1417349443</v>
      </c>
      <c r="Y72">
        <v>0.02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6.61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0.02</v>
      </c>
      <c r="AU72" t="s">
        <v>3</v>
      </c>
      <c r="AV72">
        <v>2</v>
      </c>
      <c r="AW72">
        <v>2</v>
      </c>
      <c r="AX72">
        <v>39617847</v>
      </c>
      <c r="AY72">
        <v>1</v>
      </c>
      <c r="AZ72">
        <v>2048</v>
      </c>
      <c r="BA72">
        <v>71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Y72*Source!I57</f>
        <v>3.7879999999999997E-2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ROW(Source!A57)</f>
        <v>57</v>
      </c>
      <c r="B73">
        <v>39616881</v>
      </c>
      <c r="C73">
        <v>39617845</v>
      </c>
      <c r="D73">
        <v>36882452</v>
      </c>
      <c r="E73">
        <v>1</v>
      </c>
      <c r="F73">
        <v>1</v>
      </c>
      <c r="G73">
        <v>1</v>
      </c>
      <c r="H73">
        <v>2</v>
      </c>
      <c r="I73" t="s">
        <v>462</v>
      </c>
      <c r="J73" t="s">
        <v>463</v>
      </c>
      <c r="K73" t="s">
        <v>464</v>
      </c>
      <c r="L73">
        <v>1368</v>
      </c>
      <c r="N73">
        <v>1011</v>
      </c>
      <c r="O73" t="s">
        <v>465</v>
      </c>
      <c r="P73" t="s">
        <v>465</v>
      </c>
      <c r="Q73">
        <v>1</v>
      </c>
      <c r="W73">
        <v>0</v>
      </c>
      <c r="X73">
        <v>1188625873</v>
      </c>
      <c r="Y73">
        <v>1.2500000000000001E-2</v>
      </c>
      <c r="AA73">
        <v>0</v>
      </c>
      <c r="AB73">
        <v>206.63</v>
      </c>
      <c r="AC73">
        <v>13.5</v>
      </c>
      <c r="AD73">
        <v>0</v>
      </c>
      <c r="AE73">
        <v>0</v>
      </c>
      <c r="AF73">
        <v>31.26</v>
      </c>
      <c r="AG73">
        <v>13.5</v>
      </c>
      <c r="AH73">
        <v>0</v>
      </c>
      <c r="AI73">
        <v>1</v>
      </c>
      <c r="AJ73">
        <v>6.61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0.01</v>
      </c>
      <c r="AU73" t="s">
        <v>32</v>
      </c>
      <c r="AV73">
        <v>0</v>
      </c>
      <c r="AW73">
        <v>2</v>
      </c>
      <c r="AX73">
        <v>39617848</v>
      </c>
      <c r="AY73">
        <v>1</v>
      </c>
      <c r="AZ73">
        <v>0</v>
      </c>
      <c r="BA73">
        <v>72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Y73*Source!I57</f>
        <v>2.3675000000000002E-2</v>
      </c>
      <c r="CY73">
        <f>AB73</f>
        <v>206.63</v>
      </c>
      <c r="CZ73">
        <f>AF73</f>
        <v>31.26</v>
      </c>
      <c r="DA73">
        <f>AJ73</f>
        <v>6.61</v>
      </c>
      <c r="DB73">
        <v>0</v>
      </c>
    </row>
    <row r="74" spans="1:106" x14ac:dyDescent="0.2">
      <c r="A74">
        <f>ROW(Source!A57)</f>
        <v>57</v>
      </c>
      <c r="B74">
        <v>39616881</v>
      </c>
      <c r="C74">
        <v>39617845</v>
      </c>
      <c r="D74">
        <v>36883554</v>
      </c>
      <c r="E74">
        <v>1</v>
      </c>
      <c r="F74">
        <v>1</v>
      </c>
      <c r="G74">
        <v>1</v>
      </c>
      <c r="H74">
        <v>2</v>
      </c>
      <c r="I74" t="s">
        <v>468</v>
      </c>
      <c r="J74" t="s">
        <v>469</v>
      </c>
      <c r="K74" t="s">
        <v>470</v>
      </c>
      <c r="L74">
        <v>1368</v>
      </c>
      <c r="N74">
        <v>1011</v>
      </c>
      <c r="O74" t="s">
        <v>465</v>
      </c>
      <c r="P74" t="s">
        <v>465</v>
      </c>
      <c r="Q74">
        <v>1</v>
      </c>
      <c r="W74">
        <v>0</v>
      </c>
      <c r="X74">
        <v>1372534845</v>
      </c>
      <c r="Y74">
        <v>1.2500000000000001E-2</v>
      </c>
      <c r="AA74">
        <v>0</v>
      </c>
      <c r="AB74">
        <v>434.34</v>
      </c>
      <c r="AC74">
        <v>11.6</v>
      </c>
      <c r="AD74">
        <v>0</v>
      </c>
      <c r="AE74">
        <v>0</v>
      </c>
      <c r="AF74">
        <v>65.709999999999994</v>
      </c>
      <c r="AG74">
        <v>11.6</v>
      </c>
      <c r="AH74">
        <v>0</v>
      </c>
      <c r="AI74">
        <v>1</v>
      </c>
      <c r="AJ74">
        <v>6.61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0.01</v>
      </c>
      <c r="AU74" t="s">
        <v>32</v>
      </c>
      <c r="AV74">
        <v>0</v>
      </c>
      <c r="AW74">
        <v>2</v>
      </c>
      <c r="AX74">
        <v>39617849</v>
      </c>
      <c r="AY74">
        <v>1</v>
      </c>
      <c r="AZ74">
        <v>0</v>
      </c>
      <c r="BA74">
        <v>73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Y74*Source!I57</f>
        <v>2.3675000000000002E-2</v>
      </c>
      <c r="CY74">
        <f>AB74</f>
        <v>434.34</v>
      </c>
      <c r="CZ74">
        <f>AF74</f>
        <v>65.709999999999994</v>
      </c>
      <c r="DA74">
        <f>AJ74</f>
        <v>6.61</v>
      </c>
      <c r="DB74">
        <v>0</v>
      </c>
    </row>
    <row r="75" spans="1:106" x14ac:dyDescent="0.2">
      <c r="A75">
        <f>ROW(Source!A57)</f>
        <v>57</v>
      </c>
      <c r="B75">
        <v>39616881</v>
      </c>
      <c r="C75">
        <v>39617845</v>
      </c>
      <c r="D75">
        <v>36805524</v>
      </c>
      <c r="E75">
        <v>1</v>
      </c>
      <c r="F75">
        <v>1</v>
      </c>
      <c r="G75">
        <v>1</v>
      </c>
      <c r="H75">
        <v>3</v>
      </c>
      <c r="I75" t="s">
        <v>490</v>
      </c>
      <c r="J75" t="s">
        <v>491</v>
      </c>
      <c r="K75" t="s">
        <v>492</v>
      </c>
      <c r="L75">
        <v>1346</v>
      </c>
      <c r="N75">
        <v>1009</v>
      </c>
      <c r="O75" t="s">
        <v>77</v>
      </c>
      <c r="P75" t="s">
        <v>77</v>
      </c>
      <c r="Q75">
        <v>1</v>
      </c>
      <c r="W75">
        <v>0</v>
      </c>
      <c r="X75">
        <v>813963326</v>
      </c>
      <c r="Y75">
        <v>0.1</v>
      </c>
      <c r="AA75">
        <v>12.03</v>
      </c>
      <c r="AB75">
        <v>0</v>
      </c>
      <c r="AC75">
        <v>0</v>
      </c>
      <c r="AD75">
        <v>0</v>
      </c>
      <c r="AE75">
        <v>1.82</v>
      </c>
      <c r="AF75">
        <v>0</v>
      </c>
      <c r="AG75">
        <v>0</v>
      </c>
      <c r="AH75">
        <v>0</v>
      </c>
      <c r="AI75">
        <v>6.61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0.1</v>
      </c>
      <c r="AU75" t="s">
        <v>3</v>
      </c>
      <c r="AV75">
        <v>0</v>
      </c>
      <c r="AW75">
        <v>2</v>
      </c>
      <c r="AX75">
        <v>39617850</v>
      </c>
      <c r="AY75">
        <v>1</v>
      </c>
      <c r="AZ75">
        <v>0</v>
      </c>
      <c r="BA75">
        <v>74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Y75*Source!I57</f>
        <v>0.18940000000000001</v>
      </c>
      <c r="CY75">
        <f>AA75</f>
        <v>12.03</v>
      </c>
      <c r="CZ75">
        <f>AE75</f>
        <v>1.82</v>
      </c>
      <c r="DA75">
        <f>AI75</f>
        <v>6.61</v>
      </c>
      <c r="DB75">
        <v>0</v>
      </c>
    </row>
    <row r="76" spans="1:106" x14ac:dyDescent="0.2">
      <c r="A76">
        <f>ROW(Source!A57)</f>
        <v>57</v>
      </c>
      <c r="B76">
        <v>39616881</v>
      </c>
      <c r="C76">
        <v>39617845</v>
      </c>
      <c r="D76">
        <v>36837718</v>
      </c>
      <c r="E76">
        <v>1</v>
      </c>
      <c r="F76">
        <v>1</v>
      </c>
      <c r="G76">
        <v>1</v>
      </c>
      <c r="H76">
        <v>3</v>
      </c>
      <c r="I76" t="s">
        <v>150</v>
      </c>
      <c r="J76" t="s">
        <v>152</v>
      </c>
      <c r="K76" t="s">
        <v>151</v>
      </c>
      <c r="L76">
        <v>1348</v>
      </c>
      <c r="N76">
        <v>1009</v>
      </c>
      <c r="O76" t="s">
        <v>72</v>
      </c>
      <c r="P76" t="s">
        <v>72</v>
      </c>
      <c r="Q76">
        <v>1000</v>
      </c>
      <c r="W76">
        <v>0</v>
      </c>
      <c r="X76">
        <v>-1565467692</v>
      </c>
      <c r="Y76">
        <v>1.2999999999999999E-2</v>
      </c>
      <c r="AA76">
        <v>76642.820000000007</v>
      </c>
      <c r="AB76">
        <v>0</v>
      </c>
      <c r="AC76">
        <v>0</v>
      </c>
      <c r="AD76">
        <v>0</v>
      </c>
      <c r="AE76">
        <v>11594.98</v>
      </c>
      <c r="AF76">
        <v>0</v>
      </c>
      <c r="AG76">
        <v>0</v>
      </c>
      <c r="AH76">
        <v>0</v>
      </c>
      <c r="AI76">
        <v>6.61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1.2999999999999999E-2</v>
      </c>
      <c r="AU76" t="s">
        <v>3</v>
      </c>
      <c r="AV76">
        <v>0</v>
      </c>
      <c r="AW76">
        <v>1</v>
      </c>
      <c r="AX76">
        <v>-1</v>
      </c>
      <c r="AY76">
        <v>0</v>
      </c>
      <c r="AZ76">
        <v>0</v>
      </c>
      <c r="BA76" t="s">
        <v>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Y76*Source!I57</f>
        <v>2.4621999999999998E-2</v>
      </c>
      <c r="CY76">
        <f>AA76</f>
        <v>76642.820000000007</v>
      </c>
      <c r="CZ76">
        <f>AE76</f>
        <v>11594.98</v>
      </c>
      <c r="DA76">
        <f>AI76</f>
        <v>6.61</v>
      </c>
      <c r="DB76">
        <v>0</v>
      </c>
    </row>
    <row r="77" spans="1:106" x14ac:dyDescent="0.2">
      <c r="A77">
        <f>ROW(Source!A57)</f>
        <v>57</v>
      </c>
      <c r="B77">
        <v>39616881</v>
      </c>
      <c r="C77">
        <v>39617845</v>
      </c>
      <c r="D77">
        <v>36797079</v>
      </c>
      <c r="E77">
        <v>17</v>
      </c>
      <c r="F77">
        <v>1</v>
      </c>
      <c r="G77">
        <v>1</v>
      </c>
      <c r="H77">
        <v>3</v>
      </c>
      <c r="I77" t="s">
        <v>159</v>
      </c>
      <c r="J77" t="s">
        <v>3</v>
      </c>
      <c r="K77" t="s">
        <v>160</v>
      </c>
      <c r="L77">
        <v>1348</v>
      </c>
      <c r="N77">
        <v>1009</v>
      </c>
      <c r="O77" t="s">
        <v>72</v>
      </c>
      <c r="P77" t="s">
        <v>72</v>
      </c>
      <c r="Q77">
        <v>1000</v>
      </c>
      <c r="W77">
        <v>0</v>
      </c>
      <c r="X77">
        <v>-1212923053</v>
      </c>
      <c r="Y77">
        <v>1.2999999999999999E-2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6.61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1.2999999999999999E-2</v>
      </c>
      <c r="AU77" t="s">
        <v>3</v>
      </c>
      <c r="AV77">
        <v>0</v>
      </c>
      <c r="AW77">
        <v>2</v>
      </c>
      <c r="AX77">
        <v>39617851</v>
      </c>
      <c r="AY77">
        <v>1</v>
      </c>
      <c r="AZ77">
        <v>0</v>
      </c>
      <c r="BA77">
        <v>75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Y77*Source!I57</f>
        <v>2.4621999999999998E-2</v>
      </c>
      <c r="CY77">
        <f>AA77</f>
        <v>0</v>
      </c>
      <c r="CZ77">
        <f>AE77</f>
        <v>0</v>
      </c>
      <c r="DA77">
        <f>AI77</f>
        <v>6.61</v>
      </c>
      <c r="DB77">
        <v>0</v>
      </c>
    </row>
    <row r="78" spans="1:106" x14ac:dyDescent="0.2">
      <c r="A78">
        <f>ROW(Source!A60)</f>
        <v>60</v>
      </c>
      <c r="B78">
        <v>39616881</v>
      </c>
      <c r="C78">
        <v>39617455</v>
      </c>
      <c r="D78">
        <v>37064978</v>
      </c>
      <c r="E78">
        <v>1</v>
      </c>
      <c r="F78">
        <v>1</v>
      </c>
      <c r="G78">
        <v>1</v>
      </c>
      <c r="H78">
        <v>1</v>
      </c>
      <c r="I78" t="s">
        <v>540</v>
      </c>
      <c r="J78" t="s">
        <v>3</v>
      </c>
      <c r="K78" t="s">
        <v>541</v>
      </c>
      <c r="L78">
        <v>1191</v>
      </c>
      <c r="N78">
        <v>1013</v>
      </c>
      <c r="O78" t="s">
        <v>459</v>
      </c>
      <c r="P78" t="s">
        <v>459</v>
      </c>
      <c r="Q78">
        <v>1</v>
      </c>
      <c r="W78">
        <v>0</v>
      </c>
      <c r="X78">
        <v>-719309759</v>
      </c>
      <c r="Y78">
        <v>38.674500000000002</v>
      </c>
      <c r="AA78">
        <v>0</v>
      </c>
      <c r="AB78">
        <v>0</v>
      </c>
      <c r="AC78">
        <v>0</v>
      </c>
      <c r="AD78">
        <v>58.56</v>
      </c>
      <c r="AE78">
        <v>0</v>
      </c>
      <c r="AF78">
        <v>0</v>
      </c>
      <c r="AG78">
        <v>0</v>
      </c>
      <c r="AH78">
        <v>8.86</v>
      </c>
      <c r="AI78">
        <v>1</v>
      </c>
      <c r="AJ78">
        <v>1</v>
      </c>
      <c r="AK78">
        <v>1</v>
      </c>
      <c r="AL78">
        <v>6.61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33.630000000000003</v>
      </c>
      <c r="AU78" t="s">
        <v>33</v>
      </c>
      <c r="AV78">
        <v>1</v>
      </c>
      <c r="AW78">
        <v>2</v>
      </c>
      <c r="AX78">
        <v>39617456</v>
      </c>
      <c r="AY78">
        <v>1</v>
      </c>
      <c r="AZ78">
        <v>0</v>
      </c>
      <c r="BA78">
        <v>76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Y78*Source!I60</f>
        <v>73.249503000000004</v>
      </c>
      <c r="CY78">
        <f>AD78</f>
        <v>58.56</v>
      </c>
      <c r="CZ78">
        <f>AH78</f>
        <v>8.86</v>
      </c>
      <c r="DA78">
        <f>AL78</f>
        <v>6.61</v>
      </c>
      <c r="DB78">
        <v>0</v>
      </c>
    </row>
    <row r="79" spans="1:106" x14ac:dyDescent="0.2">
      <c r="A79">
        <f>ROW(Source!A60)</f>
        <v>60</v>
      </c>
      <c r="B79">
        <v>39616881</v>
      </c>
      <c r="C79">
        <v>39617455</v>
      </c>
      <c r="D79">
        <v>37064876</v>
      </c>
      <c r="E79">
        <v>1</v>
      </c>
      <c r="F79">
        <v>1</v>
      </c>
      <c r="G79">
        <v>1</v>
      </c>
      <c r="H79">
        <v>1</v>
      </c>
      <c r="I79" t="s">
        <v>460</v>
      </c>
      <c r="J79" t="s">
        <v>3</v>
      </c>
      <c r="K79" t="s">
        <v>461</v>
      </c>
      <c r="L79">
        <v>1191</v>
      </c>
      <c r="N79">
        <v>1013</v>
      </c>
      <c r="O79" t="s">
        <v>459</v>
      </c>
      <c r="P79" t="s">
        <v>459</v>
      </c>
      <c r="Q79">
        <v>1</v>
      </c>
      <c r="W79">
        <v>0</v>
      </c>
      <c r="X79">
        <v>-1417349443</v>
      </c>
      <c r="Y79">
        <v>0.02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6.61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0.02</v>
      </c>
      <c r="AU79" t="s">
        <v>3</v>
      </c>
      <c r="AV79">
        <v>2</v>
      </c>
      <c r="AW79">
        <v>2</v>
      </c>
      <c r="AX79">
        <v>39617457</v>
      </c>
      <c r="AY79">
        <v>1</v>
      </c>
      <c r="AZ79">
        <v>2048</v>
      </c>
      <c r="BA79">
        <v>77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Y79*Source!I60</f>
        <v>3.7879999999999997E-2</v>
      </c>
      <c r="CY79">
        <f>AD79</f>
        <v>0</v>
      </c>
      <c r="CZ79">
        <f>AH79</f>
        <v>0</v>
      </c>
      <c r="DA79">
        <f>AL79</f>
        <v>1</v>
      </c>
      <c r="DB79">
        <v>0</v>
      </c>
    </row>
    <row r="80" spans="1:106" x14ac:dyDescent="0.2">
      <c r="A80">
        <f>ROW(Source!A60)</f>
        <v>60</v>
      </c>
      <c r="B80">
        <v>39616881</v>
      </c>
      <c r="C80">
        <v>39617455</v>
      </c>
      <c r="D80">
        <v>36882452</v>
      </c>
      <c r="E80">
        <v>1</v>
      </c>
      <c r="F80">
        <v>1</v>
      </c>
      <c r="G80">
        <v>1</v>
      </c>
      <c r="H80">
        <v>2</v>
      </c>
      <c r="I80" t="s">
        <v>462</v>
      </c>
      <c r="J80" t="s">
        <v>463</v>
      </c>
      <c r="K80" t="s">
        <v>464</v>
      </c>
      <c r="L80">
        <v>1368</v>
      </c>
      <c r="N80">
        <v>1011</v>
      </c>
      <c r="O80" t="s">
        <v>465</v>
      </c>
      <c r="P80" t="s">
        <v>465</v>
      </c>
      <c r="Q80">
        <v>1</v>
      </c>
      <c r="W80">
        <v>0</v>
      </c>
      <c r="X80">
        <v>1188625873</v>
      </c>
      <c r="Y80">
        <v>1.2500000000000001E-2</v>
      </c>
      <c r="AA80">
        <v>0</v>
      </c>
      <c r="AB80">
        <v>206.63</v>
      </c>
      <c r="AC80">
        <v>13.5</v>
      </c>
      <c r="AD80">
        <v>0</v>
      </c>
      <c r="AE80">
        <v>0</v>
      </c>
      <c r="AF80">
        <v>31.26</v>
      </c>
      <c r="AG80">
        <v>13.5</v>
      </c>
      <c r="AH80">
        <v>0</v>
      </c>
      <c r="AI80">
        <v>1</v>
      </c>
      <c r="AJ80">
        <v>6.61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0.01</v>
      </c>
      <c r="AU80" t="s">
        <v>32</v>
      </c>
      <c r="AV80">
        <v>0</v>
      </c>
      <c r="AW80">
        <v>2</v>
      </c>
      <c r="AX80">
        <v>39617458</v>
      </c>
      <c r="AY80">
        <v>1</v>
      </c>
      <c r="AZ80">
        <v>0</v>
      </c>
      <c r="BA80">
        <v>78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Y80*Source!I60</f>
        <v>2.3675000000000002E-2</v>
      </c>
      <c r="CY80">
        <f>AB80</f>
        <v>206.63</v>
      </c>
      <c r="CZ80">
        <f>AF80</f>
        <v>31.26</v>
      </c>
      <c r="DA80">
        <f>AJ80</f>
        <v>6.61</v>
      </c>
      <c r="DB80">
        <v>0</v>
      </c>
    </row>
    <row r="81" spans="1:106" x14ac:dyDescent="0.2">
      <c r="A81">
        <f>ROW(Source!A60)</f>
        <v>60</v>
      </c>
      <c r="B81">
        <v>39616881</v>
      </c>
      <c r="C81">
        <v>39617455</v>
      </c>
      <c r="D81">
        <v>36883554</v>
      </c>
      <c r="E81">
        <v>1</v>
      </c>
      <c r="F81">
        <v>1</v>
      </c>
      <c r="G81">
        <v>1</v>
      </c>
      <c r="H81">
        <v>2</v>
      </c>
      <c r="I81" t="s">
        <v>468</v>
      </c>
      <c r="J81" t="s">
        <v>469</v>
      </c>
      <c r="K81" t="s">
        <v>470</v>
      </c>
      <c r="L81">
        <v>1368</v>
      </c>
      <c r="N81">
        <v>1011</v>
      </c>
      <c r="O81" t="s">
        <v>465</v>
      </c>
      <c r="P81" t="s">
        <v>465</v>
      </c>
      <c r="Q81">
        <v>1</v>
      </c>
      <c r="W81">
        <v>0</v>
      </c>
      <c r="X81">
        <v>1372534845</v>
      </c>
      <c r="Y81">
        <v>1.2500000000000001E-2</v>
      </c>
      <c r="AA81">
        <v>0</v>
      </c>
      <c r="AB81">
        <v>434.34</v>
      </c>
      <c r="AC81">
        <v>11.6</v>
      </c>
      <c r="AD81">
        <v>0</v>
      </c>
      <c r="AE81">
        <v>0</v>
      </c>
      <c r="AF81">
        <v>65.709999999999994</v>
      </c>
      <c r="AG81">
        <v>11.6</v>
      </c>
      <c r="AH81">
        <v>0</v>
      </c>
      <c r="AI81">
        <v>1</v>
      </c>
      <c r="AJ81">
        <v>6.61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0.01</v>
      </c>
      <c r="AU81" t="s">
        <v>32</v>
      </c>
      <c r="AV81">
        <v>0</v>
      </c>
      <c r="AW81">
        <v>2</v>
      </c>
      <c r="AX81">
        <v>39617459</v>
      </c>
      <c r="AY81">
        <v>1</v>
      </c>
      <c r="AZ81">
        <v>0</v>
      </c>
      <c r="BA81">
        <v>79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Y81*Source!I60</f>
        <v>2.3675000000000002E-2</v>
      </c>
      <c r="CY81">
        <f>AB81</f>
        <v>434.34</v>
      </c>
      <c r="CZ81">
        <f>AF81</f>
        <v>65.709999999999994</v>
      </c>
      <c r="DA81">
        <f>AJ81</f>
        <v>6.61</v>
      </c>
      <c r="DB81">
        <v>0</v>
      </c>
    </row>
    <row r="82" spans="1:106" x14ac:dyDescent="0.2">
      <c r="A82">
        <f>ROW(Source!A60)</f>
        <v>60</v>
      </c>
      <c r="B82">
        <v>39616881</v>
      </c>
      <c r="C82">
        <v>39617455</v>
      </c>
      <c r="D82">
        <v>36797604</v>
      </c>
      <c r="E82">
        <v>17</v>
      </c>
      <c r="F82">
        <v>1</v>
      </c>
      <c r="G82">
        <v>1</v>
      </c>
      <c r="H82">
        <v>3</v>
      </c>
      <c r="I82" t="s">
        <v>171</v>
      </c>
      <c r="J82" t="s">
        <v>3</v>
      </c>
      <c r="K82" t="s">
        <v>172</v>
      </c>
      <c r="L82">
        <v>1328</v>
      </c>
      <c r="N82">
        <v>1005</v>
      </c>
      <c r="O82" t="s">
        <v>25</v>
      </c>
      <c r="P82" t="s">
        <v>25</v>
      </c>
      <c r="Q82">
        <v>100</v>
      </c>
      <c r="W82">
        <v>0</v>
      </c>
      <c r="X82">
        <v>-93777278</v>
      </c>
      <c r="Y82">
        <v>1.1299999999999999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6.61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3</v>
      </c>
      <c r="AT82">
        <v>1.1299999999999999</v>
      </c>
      <c r="AU82" t="s">
        <v>3</v>
      </c>
      <c r="AV82">
        <v>0</v>
      </c>
      <c r="AW82">
        <v>2</v>
      </c>
      <c r="AX82">
        <v>39617460</v>
      </c>
      <c r="AY82">
        <v>1</v>
      </c>
      <c r="AZ82">
        <v>0</v>
      </c>
      <c r="BA82">
        <v>80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Y82*Source!I60</f>
        <v>2.1402199999999998</v>
      </c>
      <c r="CY82">
        <f t="shared" ref="CY82:CY89" si="6">AA82</f>
        <v>0</v>
      </c>
      <c r="CZ82">
        <f t="shared" ref="CZ82:CZ89" si="7">AE82</f>
        <v>0</v>
      </c>
      <c r="DA82">
        <f t="shared" ref="DA82:DA89" si="8">AI82</f>
        <v>6.61</v>
      </c>
      <c r="DB82">
        <v>0</v>
      </c>
    </row>
    <row r="83" spans="1:106" x14ac:dyDescent="0.2">
      <c r="A83">
        <f>ROW(Source!A60)</f>
        <v>60</v>
      </c>
      <c r="B83">
        <v>39616881</v>
      </c>
      <c r="C83">
        <v>39617455</v>
      </c>
      <c r="D83">
        <v>36801437</v>
      </c>
      <c r="E83">
        <v>1</v>
      </c>
      <c r="F83">
        <v>1</v>
      </c>
      <c r="G83">
        <v>1</v>
      </c>
      <c r="H83">
        <v>3</v>
      </c>
      <c r="I83" t="s">
        <v>166</v>
      </c>
      <c r="J83" t="s">
        <v>169</v>
      </c>
      <c r="K83" t="s">
        <v>167</v>
      </c>
      <c r="L83">
        <v>1330</v>
      </c>
      <c r="N83">
        <v>1005</v>
      </c>
      <c r="O83" t="s">
        <v>168</v>
      </c>
      <c r="P83" t="s">
        <v>168</v>
      </c>
      <c r="Q83">
        <v>10</v>
      </c>
      <c r="W83">
        <v>0</v>
      </c>
      <c r="X83">
        <v>-1663288052</v>
      </c>
      <c r="Y83">
        <v>11.3</v>
      </c>
      <c r="AA83">
        <v>729.41</v>
      </c>
      <c r="AB83">
        <v>0</v>
      </c>
      <c r="AC83">
        <v>0</v>
      </c>
      <c r="AD83">
        <v>0</v>
      </c>
      <c r="AE83">
        <v>110.35</v>
      </c>
      <c r="AF83">
        <v>0</v>
      </c>
      <c r="AG83">
        <v>0</v>
      </c>
      <c r="AH83">
        <v>0</v>
      </c>
      <c r="AI83">
        <v>6.61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3</v>
      </c>
      <c r="AT83">
        <v>11.3</v>
      </c>
      <c r="AU83" t="s">
        <v>3</v>
      </c>
      <c r="AV83">
        <v>0</v>
      </c>
      <c r="AW83">
        <v>1</v>
      </c>
      <c r="AX83">
        <v>-1</v>
      </c>
      <c r="AY83">
        <v>0</v>
      </c>
      <c r="AZ83">
        <v>0</v>
      </c>
      <c r="BA83" t="s">
        <v>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Y83*Source!I60</f>
        <v>21.402200000000001</v>
      </c>
      <c r="CY83">
        <f t="shared" si="6"/>
        <v>729.41</v>
      </c>
      <c r="CZ83">
        <f t="shared" si="7"/>
        <v>110.35</v>
      </c>
      <c r="DA83">
        <f t="shared" si="8"/>
        <v>6.61</v>
      </c>
      <c r="DB83">
        <v>0</v>
      </c>
    </row>
    <row r="84" spans="1:106" x14ac:dyDescent="0.2">
      <c r="A84">
        <f>ROW(Source!A60)</f>
        <v>60</v>
      </c>
      <c r="B84">
        <v>39616881</v>
      </c>
      <c r="C84">
        <v>39617455</v>
      </c>
      <c r="D84">
        <v>36801783</v>
      </c>
      <c r="E84">
        <v>1</v>
      </c>
      <c r="F84">
        <v>1</v>
      </c>
      <c r="G84">
        <v>1</v>
      </c>
      <c r="H84">
        <v>3</v>
      </c>
      <c r="I84" t="s">
        <v>542</v>
      </c>
      <c r="J84" t="s">
        <v>543</v>
      </c>
      <c r="K84" t="s">
        <v>544</v>
      </c>
      <c r="L84">
        <v>1348</v>
      </c>
      <c r="N84">
        <v>1009</v>
      </c>
      <c r="O84" t="s">
        <v>72</v>
      </c>
      <c r="P84" t="s">
        <v>72</v>
      </c>
      <c r="Q84">
        <v>1000</v>
      </c>
      <c r="W84">
        <v>0</v>
      </c>
      <c r="X84">
        <v>-107449080</v>
      </c>
      <c r="Y84">
        <v>7.1000000000000004E-3</v>
      </c>
      <c r="AA84">
        <v>37346.5</v>
      </c>
      <c r="AB84">
        <v>0</v>
      </c>
      <c r="AC84">
        <v>0</v>
      </c>
      <c r="AD84">
        <v>0</v>
      </c>
      <c r="AE84">
        <v>5650</v>
      </c>
      <c r="AF84">
        <v>0</v>
      </c>
      <c r="AG84">
        <v>0</v>
      </c>
      <c r="AH84">
        <v>0</v>
      </c>
      <c r="AI84">
        <v>6.61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7.1000000000000004E-3</v>
      </c>
      <c r="AU84" t="s">
        <v>3</v>
      </c>
      <c r="AV84">
        <v>0</v>
      </c>
      <c r="AW84">
        <v>2</v>
      </c>
      <c r="AX84">
        <v>39617461</v>
      </c>
      <c r="AY84">
        <v>1</v>
      </c>
      <c r="AZ84">
        <v>0</v>
      </c>
      <c r="BA84">
        <v>81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Y84*Source!I60</f>
        <v>1.34474E-2</v>
      </c>
      <c r="CY84">
        <f t="shared" si="6"/>
        <v>37346.5</v>
      </c>
      <c r="CZ84">
        <f t="shared" si="7"/>
        <v>5650</v>
      </c>
      <c r="DA84">
        <f t="shared" si="8"/>
        <v>6.61</v>
      </c>
      <c r="DB84">
        <v>0</v>
      </c>
    </row>
    <row r="85" spans="1:106" x14ac:dyDescent="0.2">
      <c r="A85">
        <f>ROW(Source!A60)</f>
        <v>60</v>
      </c>
      <c r="B85">
        <v>39616881</v>
      </c>
      <c r="C85">
        <v>39617455</v>
      </c>
      <c r="D85">
        <v>36801792</v>
      </c>
      <c r="E85">
        <v>1</v>
      </c>
      <c r="F85">
        <v>1</v>
      </c>
      <c r="G85">
        <v>1</v>
      </c>
      <c r="H85">
        <v>3</v>
      </c>
      <c r="I85" t="s">
        <v>476</v>
      </c>
      <c r="J85" t="s">
        <v>477</v>
      </c>
      <c r="K85" t="s">
        <v>478</v>
      </c>
      <c r="L85">
        <v>1339</v>
      </c>
      <c r="N85">
        <v>1007</v>
      </c>
      <c r="O85" t="s">
        <v>119</v>
      </c>
      <c r="P85" t="s">
        <v>119</v>
      </c>
      <c r="Q85">
        <v>1</v>
      </c>
      <c r="W85">
        <v>0</v>
      </c>
      <c r="X85">
        <v>-1660354250</v>
      </c>
      <c r="Y85">
        <v>0.01</v>
      </c>
      <c r="AA85">
        <v>16.13</v>
      </c>
      <c r="AB85">
        <v>0</v>
      </c>
      <c r="AC85">
        <v>0</v>
      </c>
      <c r="AD85">
        <v>0</v>
      </c>
      <c r="AE85">
        <v>2.44</v>
      </c>
      <c r="AF85">
        <v>0</v>
      </c>
      <c r="AG85">
        <v>0</v>
      </c>
      <c r="AH85">
        <v>0</v>
      </c>
      <c r="AI85">
        <v>6.61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0.01</v>
      </c>
      <c r="AU85" t="s">
        <v>3</v>
      </c>
      <c r="AV85">
        <v>0</v>
      </c>
      <c r="AW85">
        <v>2</v>
      </c>
      <c r="AX85">
        <v>39617462</v>
      </c>
      <c r="AY85">
        <v>1</v>
      </c>
      <c r="AZ85">
        <v>0</v>
      </c>
      <c r="BA85">
        <v>82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Y85*Source!I60</f>
        <v>1.8939999999999999E-2</v>
      </c>
      <c r="CY85">
        <f t="shared" si="6"/>
        <v>16.13</v>
      </c>
      <c r="CZ85">
        <f t="shared" si="7"/>
        <v>2.44</v>
      </c>
      <c r="DA85">
        <f t="shared" si="8"/>
        <v>6.61</v>
      </c>
      <c r="DB85">
        <v>0</v>
      </c>
    </row>
    <row r="86" spans="1:106" x14ac:dyDescent="0.2">
      <c r="A86">
        <f>ROW(Source!A60)</f>
        <v>60</v>
      </c>
      <c r="B86">
        <v>39616881</v>
      </c>
      <c r="C86">
        <v>39617455</v>
      </c>
      <c r="D86">
        <v>36805524</v>
      </c>
      <c r="E86">
        <v>1</v>
      </c>
      <c r="F86">
        <v>1</v>
      </c>
      <c r="G86">
        <v>1</v>
      </c>
      <c r="H86">
        <v>3</v>
      </c>
      <c r="I86" t="s">
        <v>490</v>
      </c>
      <c r="J86" t="s">
        <v>491</v>
      </c>
      <c r="K86" t="s">
        <v>492</v>
      </c>
      <c r="L86">
        <v>1346</v>
      </c>
      <c r="N86">
        <v>1009</v>
      </c>
      <c r="O86" t="s">
        <v>77</v>
      </c>
      <c r="P86" t="s">
        <v>77</v>
      </c>
      <c r="Q86">
        <v>1</v>
      </c>
      <c r="W86">
        <v>0</v>
      </c>
      <c r="X86">
        <v>813963326</v>
      </c>
      <c r="Y86">
        <v>0.01</v>
      </c>
      <c r="AA86">
        <v>12.03</v>
      </c>
      <c r="AB86">
        <v>0</v>
      </c>
      <c r="AC86">
        <v>0</v>
      </c>
      <c r="AD86">
        <v>0</v>
      </c>
      <c r="AE86">
        <v>1.82</v>
      </c>
      <c r="AF86">
        <v>0</v>
      </c>
      <c r="AG86">
        <v>0</v>
      </c>
      <c r="AH86">
        <v>0</v>
      </c>
      <c r="AI86">
        <v>6.61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0.01</v>
      </c>
      <c r="AU86" t="s">
        <v>3</v>
      </c>
      <c r="AV86">
        <v>0</v>
      </c>
      <c r="AW86">
        <v>2</v>
      </c>
      <c r="AX86">
        <v>39617463</v>
      </c>
      <c r="AY86">
        <v>1</v>
      </c>
      <c r="AZ86">
        <v>0</v>
      </c>
      <c r="BA86">
        <v>83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Y86*Source!I60</f>
        <v>1.8939999999999999E-2</v>
      </c>
      <c r="CY86">
        <f t="shared" si="6"/>
        <v>12.03</v>
      </c>
      <c r="CZ86">
        <f t="shared" si="7"/>
        <v>1.82</v>
      </c>
      <c r="DA86">
        <f t="shared" si="8"/>
        <v>6.61</v>
      </c>
      <c r="DB86">
        <v>0</v>
      </c>
    </row>
    <row r="87" spans="1:106" x14ac:dyDescent="0.2">
      <c r="A87">
        <f>ROW(Source!A60)</f>
        <v>60</v>
      </c>
      <c r="B87">
        <v>39616881</v>
      </c>
      <c r="C87">
        <v>39617455</v>
      </c>
      <c r="D87">
        <v>36806413</v>
      </c>
      <c r="E87">
        <v>1</v>
      </c>
      <c r="F87">
        <v>1</v>
      </c>
      <c r="G87">
        <v>1</v>
      </c>
      <c r="H87">
        <v>3</v>
      </c>
      <c r="I87" t="s">
        <v>545</v>
      </c>
      <c r="J87" t="s">
        <v>546</v>
      </c>
      <c r="K87" t="s">
        <v>547</v>
      </c>
      <c r="L87">
        <v>1339</v>
      </c>
      <c r="N87">
        <v>1007</v>
      </c>
      <c r="O87" t="s">
        <v>119</v>
      </c>
      <c r="P87" t="s">
        <v>119</v>
      </c>
      <c r="Q87">
        <v>1</v>
      </c>
      <c r="W87">
        <v>0</v>
      </c>
      <c r="X87">
        <v>1795918813</v>
      </c>
      <c r="Y87">
        <v>4.0000000000000002E-4</v>
      </c>
      <c r="AA87">
        <v>492.97</v>
      </c>
      <c r="AB87">
        <v>0</v>
      </c>
      <c r="AC87">
        <v>0</v>
      </c>
      <c r="AD87">
        <v>0</v>
      </c>
      <c r="AE87">
        <v>74.58</v>
      </c>
      <c r="AF87">
        <v>0</v>
      </c>
      <c r="AG87">
        <v>0</v>
      </c>
      <c r="AH87">
        <v>0</v>
      </c>
      <c r="AI87">
        <v>6.61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4.0000000000000002E-4</v>
      </c>
      <c r="AU87" t="s">
        <v>3</v>
      </c>
      <c r="AV87">
        <v>0</v>
      </c>
      <c r="AW87">
        <v>2</v>
      </c>
      <c r="AX87">
        <v>39617464</v>
      </c>
      <c r="AY87">
        <v>1</v>
      </c>
      <c r="AZ87">
        <v>0</v>
      </c>
      <c r="BA87">
        <v>84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Y87*Source!I60</f>
        <v>7.5759999999999998E-4</v>
      </c>
      <c r="CY87">
        <f t="shared" si="6"/>
        <v>492.97</v>
      </c>
      <c r="CZ87">
        <f t="shared" si="7"/>
        <v>74.58</v>
      </c>
      <c r="DA87">
        <f t="shared" si="8"/>
        <v>6.61</v>
      </c>
      <c r="DB87">
        <v>0</v>
      </c>
    </row>
    <row r="88" spans="1:106" x14ac:dyDescent="0.2">
      <c r="A88">
        <f>ROW(Source!A60)</f>
        <v>60</v>
      </c>
      <c r="B88">
        <v>39616881</v>
      </c>
      <c r="C88">
        <v>39617455</v>
      </c>
      <c r="D88">
        <v>36836966</v>
      </c>
      <c r="E88">
        <v>1</v>
      </c>
      <c r="F88">
        <v>1</v>
      </c>
      <c r="G88">
        <v>1</v>
      </c>
      <c r="H88">
        <v>3</v>
      </c>
      <c r="I88" t="s">
        <v>548</v>
      </c>
      <c r="J88" t="s">
        <v>549</v>
      </c>
      <c r="K88" t="s">
        <v>550</v>
      </c>
      <c r="L88">
        <v>1348</v>
      </c>
      <c r="N88">
        <v>1009</v>
      </c>
      <c r="O88" t="s">
        <v>72</v>
      </c>
      <c r="P88" t="s">
        <v>72</v>
      </c>
      <c r="Q88">
        <v>1000</v>
      </c>
      <c r="W88">
        <v>0</v>
      </c>
      <c r="X88">
        <v>1034009243</v>
      </c>
      <c r="Y88">
        <v>2E-3</v>
      </c>
      <c r="AA88">
        <v>171793.9</v>
      </c>
      <c r="AB88">
        <v>0</v>
      </c>
      <c r="AC88">
        <v>0</v>
      </c>
      <c r="AD88">
        <v>0</v>
      </c>
      <c r="AE88">
        <v>25990</v>
      </c>
      <c r="AF88">
        <v>0</v>
      </c>
      <c r="AG88">
        <v>0</v>
      </c>
      <c r="AH88">
        <v>0</v>
      </c>
      <c r="AI88">
        <v>6.61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2E-3</v>
      </c>
      <c r="AU88" t="s">
        <v>3</v>
      </c>
      <c r="AV88">
        <v>0</v>
      </c>
      <c r="AW88">
        <v>2</v>
      </c>
      <c r="AX88">
        <v>39617465</v>
      </c>
      <c r="AY88">
        <v>1</v>
      </c>
      <c r="AZ88">
        <v>0</v>
      </c>
      <c r="BA88">
        <v>85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Y88*Source!I60</f>
        <v>3.7879999999999997E-3</v>
      </c>
      <c r="CY88">
        <f t="shared" si="6"/>
        <v>171793.9</v>
      </c>
      <c r="CZ88">
        <f t="shared" si="7"/>
        <v>25990</v>
      </c>
      <c r="DA88">
        <f t="shared" si="8"/>
        <v>6.61</v>
      </c>
      <c r="DB88">
        <v>0</v>
      </c>
    </row>
    <row r="89" spans="1:106" x14ac:dyDescent="0.2">
      <c r="A89">
        <f>ROW(Source!A60)</f>
        <v>60</v>
      </c>
      <c r="B89">
        <v>39616881</v>
      </c>
      <c r="C89">
        <v>39617455</v>
      </c>
      <c r="D89">
        <v>36839212</v>
      </c>
      <c r="E89">
        <v>1</v>
      </c>
      <c r="F89">
        <v>1</v>
      </c>
      <c r="G89">
        <v>1</v>
      </c>
      <c r="H89">
        <v>3</v>
      </c>
      <c r="I89" t="s">
        <v>551</v>
      </c>
      <c r="J89" t="s">
        <v>552</v>
      </c>
      <c r="K89" t="s">
        <v>553</v>
      </c>
      <c r="L89">
        <v>1348</v>
      </c>
      <c r="N89">
        <v>1009</v>
      </c>
      <c r="O89" t="s">
        <v>72</v>
      </c>
      <c r="P89" t="s">
        <v>72</v>
      </c>
      <c r="Q89">
        <v>1000</v>
      </c>
      <c r="W89">
        <v>0</v>
      </c>
      <c r="X89">
        <v>-2084827333</v>
      </c>
      <c r="Y89">
        <v>6.7000000000000002E-3</v>
      </c>
      <c r="AA89">
        <v>28383.34</v>
      </c>
      <c r="AB89">
        <v>0</v>
      </c>
      <c r="AC89">
        <v>0</v>
      </c>
      <c r="AD89">
        <v>0</v>
      </c>
      <c r="AE89">
        <v>4294</v>
      </c>
      <c r="AF89">
        <v>0</v>
      </c>
      <c r="AG89">
        <v>0</v>
      </c>
      <c r="AH89">
        <v>0</v>
      </c>
      <c r="AI89">
        <v>6.61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6.7000000000000002E-3</v>
      </c>
      <c r="AU89" t="s">
        <v>3</v>
      </c>
      <c r="AV89">
        <v>0</v>
      </c>
      <c r="AW89">
        <v>2</v>
      </c>
      <c r="AX89">
        <v>39617466</v>
      </c>
      <c r="AY89">
        <v>1</v>
      </c>
      <c r="AZ89">
        <v>0</v>
      </c>
      <c r="BA89">
        <v>86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Y89*Source!I60</f>
        <v>1.2689799999999999E-2</v>
      </c>
      <c r="CY89">
        <f t="shared" si="6"/>
        <v>28383.34</v>
      </c>
      <c r="CZ89">
        <f t="shared" si="7"/>
        <v>4294</v>
      </c>
      <c r="DA89">
        <f t="shared" si="8"/>
        <v>6.61</v>
      </c>
      <c r="DB89">
        <v>0</v>
      </c>
    </row>
    <row r="90" spans="1:106" x14ac:dyDescent="0.2">
      <c r="A90">
        <f>ROW(Source!A63)</f>
        <v>63</v>
      </c>
      <c r="B90">
        <v>39616881</v>
      </c>
      <c r="C90">
        <v>39617468</v>
      </c>
      <c r="D90">
        <v>37070090</v>
      </c>
      <c r="E90">
        <v>1</v>
      </c>
      <c r="F90">
        <v>1</v>
      </c>
      <c r="G90">
        <v>1</v>
      </c>
      <c r="H90">
        <v>1</v>
      </c>
      <c r="I90" t="s">
        <v>554</v>
      </c>
      <c r="J90" t="s">
        <v>3</v>
      </c>
      <c r="K90" t="s">
        <v>555</v>
      </c>
      <c r="L90">
        <v>1191</v>
      </c>
      <c r="N90">
        <v>1013</v>
      </c>
      <c r="O90" t="s">
        <v>459</v>
      </c>
      <c r="P90" t="s">
        <v>459</v>
      </c>
      <c r="Q90">
        <v>1</v>
      </c>
      <c r="W90">
        <v>0</v>
      </c>
      <c r="X90">
        <v>-814890593</v>
      </c>
      <c r="Y90">
        <v>29.221499999999999</v>
      </c>
      <c r="AA90">
        <v>0</v>
      </c>
      <c r="AB90">
        <v>0</v>
      </c>
      <c r="AC90">
        <v>0</v>
      </c>
      <c r="AD90">
        <v>59.29</v>
      </c>
      <c r="AE90">
        <v>0</v>
      </c>
      <c r="AF90">
        <v>0</v>
      </c>
      <c r="AG90">
        <v>0</v>
      </c>
      <c r="AH90">
        <v>8.9700000000000006</v>
      </c>
      <c r="AI90">
        <v>1</v>
      </c>
      <c r="AJ90">
        <v>1</v>
      </c>
      <c r="AK90">
        <v>1</v>
      </c>
      <c r="AL90">
        <v>6.61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25.41</v>
      </c>
      <c r="AU90" t="s">
        <v>33</v>
      </c>
      <c r="AV90">
        <v>1</v>
      </c>
      <c r="AW90">
        <v>2</v>
      </c>
      <c r="AX90">
        <v>39617469</v>
      </c>
      <c r="AY90">
        <v>1</v>
      </c>
      <c r="AZ90">
        <v>0</v>
      </c>
      <c r="BA90">
        <v>87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Y90*Source!I63</f>
        <v>55.345520999999998</v>
      </c>
      <c r="CY90">
        <f>AD90</f>
        <v>59.29</v>
      </c>
      <c r="CZ90">
        <f>AH90</f>
        <v>8.9700000000000006</v>
      </c>
      <c r="DA90">
        <f>AL90</f>
        <v>6.61</v>
      </c>
      <c r="DB90">
        <v>0</v>
      </c>
    </row>
    <row r="91" spans="1:106" x14ac:dyDescent="0.2">
      <c r="A91">
        <f>ROW(Source!A63)</f>
        <v>63</v>
      </c>
      <c r="B91">
        <v>39616881</v>
      </c>
      <c r="C91">
        <v>39617468</v>
      </c>
      <c r="D91">
        <v>37064876</v>
      </c>
      <c r="E91">
        <v>1</v>
      </c>
      <c r="F91">
        <v>1</v>
      </c>
      <c r="G91">
        <v>1</v>
      </c>
      <c r="H91">
        <v>1</v>
      </c>
      <c r="I91" t="s">
        <v>460</v>
      </c>
      <c r="J91" t="s">
        <v>3</v>
      </c>
      <c r="K91" t="s">
        <v>461</v>
      </c>
      <c r="L91">
        <v>1191</v>
      </c>
      <c r="N91">
        <v>1013</v>
      </c>
      <c r="O91" t="s">
        <v>459</v>
      </c>
      <c r="P91" t="s">
        <v>459</v>
      </c>
      <c r="Q91">
        <v>1</v>
      </c>
      <c r="W91">
        <v>0</v>
      </c>
      <c r="X91">
        <v>-1417349443</v>
      </c>
      <c r="Y91">
        <v>0.11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6.61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0.11</v>
      </c>
      <c r="AU91" t="s">
        <v>3</v>
      </c>
      <c r="AV91">
        <v>2</v>
      </c>
      <c r="AW91">
        <v>2</v>
      </c>
      <c r="AX91">
        <v>39617470</v>
      </c>
      <c r="AY91">
        <v>1</v>
      </c>
      <c r="AZ91">
        <v>2048</v>
      </c>
      <c r="BA91">
        <v>88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Y91*Source!I63</f>
        <v>0.20834</v>
      </c>
      <c r="CY91">
        <f>AD91</f>
        <v>0</v>
      </c>
      <c r="CZ91">
        <f>AH91</f>
        <v>0</v>
      </c>
      <c r="DA91">
        <f>AL91</f>
        <v>1</v>
      </c>
      <c r="DB91">
        <v>0</v>
      </c>
    </row>
    <row r="92" spans="1:106" x14ac:dyDescent="0.2">
      <c r="A92">
        <f>ROW(Source!A63)</f>
        <v>63</v>
      </c>
      <c r="B92">
        <v>39616881</v>
      </c>
      <c r="C92">
        <v>39617468</v>
      </c>
      <c r="D92">
        <v>36882452</v>
      </c>
      <c r="E92">
        <v>1</v>
      </c>
      <c r="F92">
        <v>1</v>
      </c>
      <c r="G92">
        <v>1</v>
      </c>
      <c r="H92">
        <v>2</v>
      </c>
      <c r="I92" t="s">
        <v>462</v>
      </c>
      <c r="J92" t="s">
        <v>463</v>
      </c>
      <c r="K92" t="s">
        <v>464</v>
      </c>
      <c r="L92">
        <v>1368</v>
      </c>
      <c r="N92">
        <v>1011</v>
      </c>
      <c r="O92" t="s">
        <v>465</v>
      </c>
      <c r="P92" t="s">
        <v>465</v>
      </c>
      <c r="Q92">
        <v>1</v>
      </c>
      <c r="W92">
        <v>0</v>
      </c>
      <c r="X92">
        <v>1188625873</v>
      </c>
      <c r="Y92">
        <v>1.2500000000000001E-2</v>
      </c>
      <c r="AA92">
        <v>0</v>
      </c>
      <c r="AB92">
        <v>206.63</v>
      </c>
      <c r="AC92">
        <v>13.5</v>
      </c>
      <c r="AD92">
        <v>0</v>
      </c>
      <c r="AE92">
        <v>0</v>
      </c>
      <c r="AF92">
        <v>31.26</v>
      </c>
      <c r="AG92">
        <v>13.5</v>
      </c>
      <c r="AH92">
        <v>0</v>
      </c>
      <c r="AI92">
        <v>1</v>
      </c>
      <c r="AJ92">
        <v>6.61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3</v>
      </c>
      <c r="AT92">
        <v>0.01</v>
      </c>
      <c r="AU92" t="s">
        <v>32</v>
      </c>
      <c r="AV92">
        <v>0</v>
      </c>
      <c r="AW92">
        <v>2</v>
      </c>
      <c r="AX92">
        <v>39617471</v>
      </c>
      <c r="AY92">
        <v>1</v>
      </c>
      <c r="AZ92">
        <v>0</v>
      </c>
      <c r="BA92">
        <v>89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Y92*Source!I63</f>
        <v>2.3675000000000002E-2</v>
      </c>
      <c r="CY92">
        <f>AB92</f>
        <v>206.63</v>
      </c>
      <c r="CZ92">
        <f>AF92</f>
        <v>31.26</v>
      </c>
      <c r="DA92">
        <f>AJ92</f>
        <v>6.61</v>
      </c>
      <c r="DB92">
        <v>0</v>
      </c>
    </row>
    <row r="93" spans="1:106" x14ac:dyDescent="0.2">
      <c r="A93">
        <f>ROW(Source!A63)</f>
        <v>63</v>
      </c>
      <c r="B93">
        <v>39616881</v>
      </c>
      <c r="C93">
        <v>39617468</v>
      </c>
      <c r="D93">
        <v>36883554</v>
      </c>
      <c r="E93">
        <v>1</v>
      </c>
      <c r="F93">
        <v>1</v>
      </c>
      <c r="G93">
        <v>1</v>
      </c>
      <c r="H93">
        <v>2</v>
      </c>
      <c r="I93" t="s">
        <v>468</v>
      </c>
      <c r="J93" t="s">
        <v>469</v>
      </c>
      <c r="K93" t="s">
        <v>470</v>
      </c>
      <c r="L93">
        <v>1368</v>
      </c>
      <c r="N93">
        <v>1011</v>
      </c>
      <c r="O93" t="s">
        <v>465</v>
      </c>
      <c r="P93" t="s">
        <v>465</v>
      </c>
      <c r="Q93">
        <v>1</v>
      </c>
      <c r="W93">
        <v>0</v>
      </c>
      <c r="X93">
        <v>1372534845</v>
      </c>
      <c r="Y93">
        <v>0.125</v>
      </c>
      <c r="AA93">
        <v>0</v>
      </c>
      <c r="AB93">
        <v>434.34</v>
      </c>
      <c r="AC93">
        <v>11.6</v>
      </c>
      <c r="AD93">
        <v>0</v>
      </c>
      <c r="AE93">
        <v>0</v>
      </c>
      <c r="AF93">
        <v>65.709999999999994</v>
      </c>
      <c r="AG93">
        <v>11.6</v>
      </c>
      <c r="AH93">
        <v>0</v>
      </c>
      <c r="AI93">
        <v>1</v>
      </c>
      <c r="AJ93">
        <v>6.61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0.1</v>
      </c>
      <c r="AU93" t="s">
        <v>32</v>
      </c>
      <c r="AV93">
        <v>0</v>
      </c>
      <c r="AW93">
        <v>2</v>
      </c>
      <c r="AX93">
        <v>39617472</v>
      </c>
      <c r="AY93">
        <v>1</v>
      </c>
      <c r="AZ93">
        <v>0</v>
      </c>
      <c r="BA93">
        <v>90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Y93*Source!I63</f>
        <v>0.23674999999999999</v>
      </c>
      <c r="CY93">
        <f>AB93</f>
        <v>434.34</v>
      </c>
      <c r="CZ93">
        <f>AF93</f>
        <v>65.709999999999994</v>
      </c>
      <c r="DA93">
        <f>AJ93</f>
        <v>6.61</v>
      </c>
      <c r="DB93">
        <v>0</v>
      </c>
    </row>
    <row r="94" spans="1:106" x14ac:dyDescent="0.2">
      <c r="A94">
        <f>ROW(Source!A63)</f>
        <v>63</v>
      </c>
      <c r="B94">
        <v>39616881</v>
      </c>
      <c r="C94">
        <v>39617468</v>
      </c>
      <c r="D94">
        <v>36805188</v>
      </c>
      <c r="E94">
        <v>1</v>
      </c>
      <c r="F94">
        <v>1</v>
      </c>
      <c r="G94">
        <v>1</v>
      </c>
      <c r="H94">
        <v>3</v>
      </c>
      <c r="I94" t="s">
        <v>556</v>
      </c>
      <c r="J94" t="s">
        <v>557</v>
      </c>
      <c r="K94" t="s">
        <v>558</v>
      </c>
      <c r="L94">
        <v>1327</v>
      </c>
      <c r="N94">
        <v>1005</v>
      </c>
      <c r="O94" t="s">
        <v>67</v>
      </c>
      <c r="P94" t="s">
        <v>67</v>
      </c>
      <c r="Q94">
        <v>1</v>
      </c>
      <c r="W94">
        <v>0</v>
      </c>
      <c r="X94">
        <v>-1987926685</v>
      </c>
      <c r="Y94">
        <v>0.84</v>
      </c>
      <c r="AA94">
        <v>478.04</v>
      </c>
      <c r="AB94">
        <v>0</v>
      </c>
      <c r="AC94">
        <v>0</v>
      </c>
      <c r="AD94">
        <v>0</v>
      </c>
      <c r="AE94">
        <v>72.319999999999993</v>
      </c>
      <c r="AF94">
        <v>0</v>
      </c>
      <c r="AG94">
        <v>0</v>
      </c>
      <c r="AH94">
        <v>0</v>
      </c>
      <c r="AI94">
        <v>6.61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0.84</v>
      </c>
      <c r="AU94" t="s">
        <v>3</v>
      </c>
      <c r="AV94">
        <v>0</v>
      </c>
      <c r="AW94">
        <v>2</v>
      </c>
      <c r="AX94">
        <v>39617473</v>
      </c>
      <c r="AY94">
        <v>1</v>
      </c>
      <c r="AZ94">
        <v>0</v>
      </c>
      <c r="BA94">
        <v>91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Y94*Source!I63</f>
        <v>1.5909599999999999</v>
      </c>
      <c r="CY94">
        <f>AA94</f>
        <v>478.04</v>
      </c>
      <c r="CZ94">
        <f>AE94</f>
        <v>72.319999999999993</v>
      </c>
      <c r="DA94">
        <f>AI94</f>
        <v>6.61</v>
      </c>
      <c r="DB94">
        <v>0</v>
      </c>
    </row>
    <row r="95" spans="1:106" x14ac:dyDescent="0.2">
      <c r="A95">
        <f>ROW(Source!A63)</f>
        <v>63</v>
      </c>
      <c r="B95">
        <v>39616881</v>
      </c>
      <c r="C95">
        <v>39617468</v>
      </c>
      <c r="D95">
        <v>36805524</v>
      </c>
      <c r="E95">
        <v>1</v>
      </c>
      <c r="F95">
        <v>1</v>
      </c>
      <c r="G95">
        <v>1</v>
      </c>
      <c r="H95">
        <v>3</v>
      </c>
      <c r="I95" t="s">
        <v>490</v>
      </c>
      <c r="J95" t="s">
        <v>491</v>
      </c>
      <c r="K95" t="s">
        <v>492</v>
      </c>
      <c r="L95">
        <v>1346</v>
      </c>
      <c r="N95">
        <v>1009</v>
      </c>
      <c r="O95" t="s">
        <v>77</v>
      </c>
      <c r="P95" t="s">
        <v>77</v>
      </c>
      <c r="Q95">
        <v>1</v>
      </c>
      <c r="W95">
        <v>0</v>
      </c>
      <c r="X95">
        <v>813963326</v>
      </c>
      <c r="Y95">
        <v>0.31</v>
      </c>
      <c r="AA95">
        <v>12.03</v>
      </c>
      <c r="AB95">
        <v>0</v>
      </c>
      <c r="AC95">
        <v>0</v>
      </c>
      <c r="AD95">
        <v>0</v>
      </c>
      <c r="AE95">
        <v>1.82</v>
      </c>
      <c r="AF95">
        <v>0</v>
      </c>
      <c r="AG95">
        <v>0</v>
      </c>
      <c r="AH95">
        <v>0</v>
      </c>
      <c r="AI95">
        <v>6.61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0.31</v>
      </c>
      <c r="AU95" t="s">
        <v>3</v>
      </c>
      <c r="AV95">
        <v>0</v>
      </c>
      <c r="AW95">
        <v>2</v>
      </c>
      <c r="AX95">
        <v>39617474</v>
      </c>
      <c r="AY95">
        <v>1</v>
      </c>
      <c r="AZ95">
        <v>0</v>
      </c>
      <c r="BA95">
        <v>92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Y95*Source!I63</f>
        <v>0.58714</v>
      </c>
      <c r="CY95">
        <f>AA95</f>
        <v>12.03</v>
      </c>
      <c r="CZ95">
        <f>AE95</f>
        <v>1.82</v>
      </c>
      <c r="DA95">
        <f>AI95</f>
        <v>6.61</v>
      </c>
      <c r="DB95">
        <v>0</v>
      </c>
    </row>
    <row r="96" spans="1:106" x14ac:dyDescent="0.2">
      <c r="A96">
        <f>ROW(Source!A63)</f>
        <v>63</v>
      </c>
      <c r="B96">
        <v>39616881</v>
      </c>
      <c r="C96">
        <v>39617468</v>
      </c>
      <c r="D96">
        <v>36797561</v>
      </c>
      <c r="E96">
        <v>17</v>
      </c>
      <c r="F96">
        <v>1</v>
      </c>
      <c r="G96">
        <v>1</v>
      </c>
      <c r="H96">
        <v>3</v>
      </c>
      <c r="I96" t="s">
        <v>182</v>
      </c>
      <c r="J96" t="s">
        <v>3</v>
      </c>
      <c r="K96" t="s">
        <v>183</v>
      </c>
      <c r="L96">
        <v>1348</v>
      </c>
      <c r="N96">
        <v>1009</v>
      </c>
      <c r="O96" t="s">
        <v>72</v>
      </c>
      <c r="P96" t="s">
        <v>72</v>
      </c>
      <c r="Q96">
        <v>1000</v>
      </c>
      <c r="W96">
        <v>0</v>
      </c>
      <c r="X96">
        <v>1891904026</v>
      </c>
      <c r="Y96">
        <v>6.3E-2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6.61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3</v>
      </c>
      <c r="AT96">
        <v>6.3E-2</v>
      </c>
      <c r="AU96" t="s">
        <v>3</v>
      </c>
      <c r="AV96">
        <v>0</v>
      </c>
      <c r="AW96">
        <v>2</v>
      </c>
      <c r="AX96">
        <v>39617475</v>
      </c>
      <c r="AY96">
        <v>1</v>
      </c>
      <c r="AZ96">
        <v>0</v>
      </c>
      <c r="BA96">
        <v>93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Y96*Source!I63</f>
        <v>0.119322</v>
      </c>
      <c r="CY96">
        <f>AA96</f>
        <v>0</v>
      </c>
      <c r="CZ96">
        <f>AE96</f>
        <v>0</v>
      </c>
      <c r="DA96">
        <f>AI96</f>
        <v>6.61</v>
      </c>
      <c r="DB96">
        <v>0</v>
      </c>
    </row>
    <row r="97" spans="1:106" x14ac:dyDescent="0.2">
      <c r="A97">
        <f>ROW(Source!A63)</f>
        <v>63</v>
      </c>
      <c r="B97">
        <v>39616881</v>
      </c>
      <c r="C97">
        <v>39617468</v>
      </c>
      <c r="D97">
        <v>36839212</v>
      </c>
      <c r="E97">
        <v>1</v>
      </c>
      <c r="F97">
        <v>1</v>
      </c>
      <c r="G97">
        <v>1</v>
      </c>
      <c r="H97">
        <v>3</v>
      </c>
      <c r="I97" t="s">
        <v>551</v>
      </c>
      <c r="J97" t="s">
        <v>552</v>
      </c>
      <c r="K97" t="s">
        <v>553</v>
      </c>
      <c r="L97">
        <v>1348</v>
      </c>
      <c r="N97">
        <v>1009</v>
      </c>
      <c r="O97" t="s">
        <v>72</v>
      </c>
      <c r="P97" t="s">
        <v>72</v>
      </c>
      <c r="Q97">
        <v>1000</v>
      </c>
      <c r="W97">
        <v>0</v>
      </c>
      <c r="X97">
        <v>-2084827333</v>
      </c>
      <c r="Y97">
        <v>5.0000000000000001E-3</v>
      </c>
      <c r="AA97">
        <v>28383.34</v>
      </c>
      <c r="AB97">
        <v>0</v>
      </c>
      <c r="AC97">
        <v>0</v>
      </c>
      <c r="AD97">
        <v>0</v>
      </c>
      <c r="AE97">
        <v>4294</v>
      </c>
      <c r="AF97">
        <v>0</v>
      </c>
      <c r="AG97">
        <v>0</v>
      </c>
      <c r="AH97">
        <v>0</v>
      </c>
      <c r="AI97">
        <v>6.61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5.0000000000000001E-3</v>
      </c>
      <c r="AU97" t="s">
        <v>3</v>
      </c>
      <c r="AV97">
        <v>0</v>
      </c>
      <c r="AW97">
        <v>2</v>
      </c>
      <c r="AX97">
        <v>39617476</v>
      </c>
      <c r="AY97">
        <v>1</v>
      </c>
      <c r="AZ97">
        <v>0</v>
      </c>
      <c r="BA97">
        <v>94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Y97*Source!I63</f>
        <v>9.4699999999999993E-3</v>
      </c>
      <c r="CY97">
        <f>AA97</f>
        <v>28383.34</v>
      </c>
      <c r="CZ97">
        <f>AE97</f>
        <v>4294</v>
      </c>
      <c r="DA97">
        <f>AI97</f>
        <v>6.61</v>
      </c>
      <c r="DB97">
        <v>0</v>
      </c>
    </row>
    <row r="98" spans="1:106" x14ac:dyDescent="0.2">
      <c r="A98">
        <f>ROW(Source!A63)</f>
        <v>63</v>
      </c>
      <c r="B98">
        <v>39616881</v>
      </c>
      <c r="C98">
        <v>39617468</v>
      </c>
      <c r="D98">
        <v>0</v>
      </c>
      <c r="E98">
        <v>0</v>
      </c>
      <c r="F98">
        <v>1</v>
      </c>
      <c r="G98">
        <v>1</v>
      </c>
      <c r="H98">
        <v>3</v>
      </c>
      <c r="I98" t="s">
        <v>178</v>
      </c>
      <c r="J98" t="s">
        <v>3</v>
      </c>
      <c r="K98" t="s">
        <v>179</v>
      </c>
      <c r="L98">
        <v>1346</v>
      </c>
      <c r="N98">
        <v>1009</v>
      </c>
      <c r="O98" t="s">
        <v>77</v>
      </c>
      <c r="P98" t="s">
        <v>77</v>
      </c>
      <c r="Q98">
        <v>1</v>
      </c>
      <c r="W98">
        <v>0</v>
      </c>
      <c r="X98">
        <v>387039150</v>
      </c>
      <c r="Y98">
        <v>63</v>
      </c>
      <c r="AA98">
        <v>206.69</v>
      </c>
      <c r="AB98">
        <v>0</v>
      </c>
      <c r="AC98">
        <v>0</v>
      </c>
      <c r="AD98">
        <v>0</v>
      </c>
      <c r="AE98">
        <v>31.27</v>
      </c>
      <c r="AF98">
        <v>0</v>
      </c>
      <c r="AG98">
        <v>0</v>
      </c>
      <c r="AH98">
        <v>0</v>
      </c>
      <c r="AI98">
        <v>6.61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3</v>
      </c>
      <c r="AT98">
        <v>63</v>
      </c>
      <c r="AU98" t="s">
        <v>3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Y98*Source!I63</f>
        <v>119.32199999999999</v>
      </c>
      <c r="CY98">
        <f>AA98</f>
        <v>206.69</v>
      </c>
      <c r="CZ98">
        <f>AE98</f>
        <v>31.27</v>
      </c>
      <c r="DA98">
        <f>AI98</f>
        <v>6.61</v>
      </c>
      <c r="DB98">
        <v>0</v>
      </c>
    </row>
    <row r="99" spans="1:106" x14ac:dyDescent="0.2">
      <c r="A99">
        <f>ROW(Source!A66)</f>
        <v>66</v>
      </c>
      <c r="B99">
        <v>39616881</v>
      </c>
      <c r="C99">
        <v>39617478</v>
      </c>
      <c r="D99">
        <v>37071037</v>
      </c>
      <c r="E99">
        <v>1</v>
      </c>
      <c r="F99">
        <v>1</v>
      </c>
      <c r="G99">
        <v>1</v>
      </c>
      <c r="H99">
        <v>1</v>
      </c>
      <c r="I99" t="s">
        <v>538</v>
      </c>
      <c r="J99" t="s">
        <v>3</v>
      </c>
      <c r="K99" t="s">
        <v>539</v>
      </c>
      <c r="L99">
        <v>1191</v>
      </c>
      <c r="N99">
        <v>1013</v>
      </c>
      <c r="O99" t="s">
        <v>459</v>
      </c>
      <c r="P99" t="s">
        <v>459</v>
      </c>
      <c r="Q99">
        <v>1</v>
      </c>
      <c r="W99">
        <v>0</v>
      </c>
      <c r="X99">
        <v>1069510174</v>
      </c>
      <c r="Y99">
        <v>9.6370000000000005</v>
      </c>
      <c r="AA99">
        <v>0</v>
      </c>
      <c r="AB99">
        <v>0</v>
      </c>
      <c r="AC99">
        <v>0</v>
      </c>
      <c r="AD99">
        <v>63.59</v>
      </c>
      <c r="AE99">
        <v>0</v>
      </c>
      <c r="AF99">
        <v>0</v>
      </c>
      <c r="AG99">
        <v>0</v>
      </c>
      <c r="AH99">
        <v>9.6199999999999992</v>
      </c>
      <c r="AI99">
        <v>1</v>
      </c>
      <c r="AJ99">
        <v>1</v>
      </c>
      <c r="AK99">
        <v>1</v>
      </c>
      <c r="AL99">
        <v>6.61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8.3800000000000008</v>
      </c>
      <c r="AU99" t="s">
        <v>33</v>
      </c>
      <c r="AV99">
        <v>1</v>
      </c>
      <c r="AW99">
        <v>2</v>
      </c>
      <c r="AX99">
        <v>39617479</v>
      </c>
      <c r="AY99">
        <v>1</v>
      </c>
      <c r="AZ99">
        <v>0</v>
      </c>
      <c r="BA99">
        <v>95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Y99*Source!I66</f>
        <v>18.252478</v>
      </c>
      <c r="CY99">
        <f>AD99</f>
        <v>63.59</v>
      </c>
      <c r="CZ99">
        <f>AH99</f>
        <v>9.6199999999999992</v>
      </c>
      <c r="DA99">
        <f>AL99</f>
        <v>6.61</v>
      </c>
      <c r="DB99">
        <v>0</v>
      </c>
    </row>
    <row r="100" spans="1:106" x14ac:dyDescent="0.2">
      <c r="A100">
        <f>ROW(Source!A66)</f>
        <v>66</v>
      </c>
      <c r="B100">
        <v>39616881</v>
      </c>
      <c r="C100">
        <v>39617478</v>
      </c>
      <c r="D100">
        <v>36797607</v>
      </c>
      <c r="E100">
        <v>17</v>
      </c>
      <c r="F100">
        <v>1</v>
      </c>
      <c r="G100">
        <v>1</v>
      </c>
      <c r="H100">
        <v>3</v>
      </c>
      <c r="I100" t="s">
        <v>190</v>
      </c>
      <c r="J100" t="s">
        <v>3</v>
      </c>
      <c r="K100" t="s">
        <v>191</v>
      </c>
      <c r="L100">
        <v>1348</v>
      </c>
      <c r="N100">
        <v>1009</v>
      </c>
      <c r="O100" t="s">
        <v>72</v>
      </c>
      <c r="P100" t="s">
        <v>72</v>
      </c>
      <c r="Q100">
        <v>1000</v>
      </c>
      <c r="W100">
        <v>0</v>
      </c>
      <c r="X100">
        <v>973262446</v>
      </c>
      <c r="Y100">
        <v>1.6E-2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6.61</v>
      </c>
      <c r="AJ100">
        <v>1</v>
      </c>
      <c r="AK100">
        <v>1</v>
      </c>
      <c r="AL100">
        <v>1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3</v>
      </c>
      <c r="AT100">
        <v>1.6E-2</v>
      </c>
      <c r="AU100" t="s">
        <v>3</v>
      </c>
      <c r="AV100">
        <v>0</v>
      </c>
      <c r="AW100">
        <v>2</v>
      </c>
      <c r="AX100">
        <v>39617480</v>
      </c>
      <c r="AY100">
        <v>1</v>
      </c>
      <c r="AZ100">
        <v>0</v>
      </c>
      <c r="BA100">
        <v>96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Y100*Source!I66</f>
        <v>3.0303999999999998E-2</v>
      </c>
      <c r="CY100">
        <f>AA100</f>
        <v>0</v>
      </c>
      <c r="CZ100">
        <f>AE100</f>
        <v>0</v>
      </c>
      <c r="DA100">
        <f>AI100</f>
        <v>6.61</v>
      </c>
      <c r="DB100">
        <v>0</v>
      </c>
    </row>
    <row r="101" spans="1:106" x14ac:dyDescent="0.2">
      <c r="A101">
        <f>ROW(Source!A66)</f>
        <v>66</v>
      </c>
      <c r="B101">
        <v>39616881</v>
      </c>
      <c r="C101">
        <v>39617478</v>
      </c>
      <c r="D101">
        <v>0</v>
      </c>
      <c r="E101">
        <v>1</v>
      </c>
      <c r="F101">
        <v>1</v>
      </c>
      <c r="G101">
        <v>1</v>
      </c>
      <c r="H101">
        <v>3</v>
      </c>
      <c r="I101" t="s">
        <v>178</v>
      </c>
      <c r="J101" t="s">
        <v>3</v>
      </c>
      <c r="K101" t="s">
        <v>179</v>
      </c>
      <c r="L101">
        <v>1346</v>
      </c>
      <c r="N101">
        <v>1009</v>
      </c>
      <c r="O101" t="s">
        <v>77</v>
      </c>
      <c r="P101" t="s">
        <v>77</v>
      </c>
      <c r="Q101">
        <v>1</v>
      </c>
      <c r="W101">
        <v>0</v>
      </c>
      <c r="X101">
        <v>387039150</v>
      </c>
      <c r="Y101">
        <v>16</v>
      </c>
      <c r="AA101">
        <v>206.69</v>
      </c>
      <c r="AB101">
        <v>0</v>
      </c>
      <c r="AC101">
        <v>0</v>
      </c>
      <c r="AD101">
        <v>0</v>
      </c>
      <c r="AE101">
        <v>31.27</v>
      </c>
      <c r="AF101">
        <v>0</v>
      </c>
      <c r="AG101">
        <v>0</v>
      </c>
      <c r="AH101">
        <v>0</v>
      </c>
      <c r="AI101">
        <v>6.61</v>
      </c>
      <c r="AJ101">
        <v>1</v>
      </c>
      <c r="AK101">
        <v>1</v>
      </c>
      <c r="AL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3</v>
      </c>
      <c r="AT101">
        <v>16</v>
      </c>
      <c r="AU101" t="s">
        <v>3</v>
      </c>
      <c r="AV101">
        <v>0</v>
      </c>
      <c r="AW101">
        <v>1</v>
      </c>
      <c r="AX101">
        <v>-1</v>
      </c>
      <c r="AY101">
        <v>0</v>
      </c>
      <c r="AZ101">
        <v>0</v>
      </c>
      <c r="BA101" t="s">
        <v>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Y101*Source!I66</f>
        <v>30.303999999999998</v>
      </c>
      <c r="CY101">
        <f>AA101</f>
        <v>206.69</v>
      </c>
      <c r="CZ101">
        <f>AE101</f>
        <v>31.27</v>
      </c>
      <c r="DA101">
        <f>AI101</f>
        <v>6.61</v>
      </c>
      <c r="DB101">
        <v>0</v>
      </c>
    </row>
    <row r="102" spans="1:106" x14ac:dyDescent="0.2">
      <c r="A102">
        <f>ROW(Source!A69)</f>
        <v>69</v>
      </c>
      <c r="B102">
        <v>39616881</v>
      </c>
      <c r="C102">
        <v>39617482</v>
      </c>
      <c r="D102">
        <v>37068148</v>
      </c>
      <c r="E102">
        <v>1</v>
      </c>
      <c r="F102">
        <v>1</v>
      </c>
      <c r="G102">
        <v>1</v>
      </c>
      <c r="H102">
        <v>1</v>
      </c>
      <c r="I102" t="s">
        <v>512</v>
      </c>
      <c r="J102" t="s">
        <v>3</v>
      </c>
      <c r="K102" t="s">
        <v>513</v>
      </c>
      <c r="L102">
        <v>1191</v>
      </c>
      <c r="N102">
        <v>1013</v>
      </c>
      <c r="O102" t="s">
        <v>459</v>
      </c>
      <c r="P102" t="s">
        <v>459</v>
      </c>
      <c r="Q102">
        <v>1</v>
      </c>
      <c r="W102">
        <v>0</v>
      </c>
      <c r="X102">
        <v>371339561</v>
      </c>
      <c r="Y102">
        <v>80.599999999999994</v>
      </c>
      <c r="AA102">
        <v>0</v>
      </c>
      <c r="AB102">
        <v>0</v>
      </c>
      <c r="AC102">
        <v>0</v>
      </c>
      <c r="AD102">
        <v>53.47</v>
      </c>
      <c r="AE102">
        <v>0</v>
      </c>
      <c r="AF102">
        <v>0</v>
      </c>
      <c r="AG102">
        <v>0</v>
      </c>
      <c r="AH102">
        <v>8.09</v>
      </c>
      <c r="AI102">
        <v>1</v>
      </c>
      <c r="AJ102">
        <v>1</v>
      </c>
      <c r="AK102">
        <v>1</v>
      </c>
      <c r="AL102">
        <v>6.61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80.599999999999994</v>
      </c>
      <c r="AU102" t="s">
        <v>3</v>
      </c>
      <c r="AV102">
        <v>1</v>
      </c>
      <c r="AW102">
        <v>2</v>
      </c>
      <c r="AX102">
        <v>39617483</v>
      </c>
      <c r="AY102">
        <v>1</v>
      </c>
      <c r="AZ102">
        <v>0</v>
      </c>
      <c r="BA102">
        <v>97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Y102*Source!I69</f>
        <v>14.507999999999999</v>
      </c>
      <c r="CY102">
        <f>AD102</f>
        <v>53.47</v>
      </c>
      <c r="CZ102">
        <f>AH102</f>
        <v>8.09</v>
      </c>
      <c r="DA102">
        <f>AL102</f>
        <v>6.61</v>
      </c>
      <c r="DB102">
        <v>0</v>
      </c>
    </row>
    <row r="103" spans="1:106" x14ac:dyDescent="0.2">
      <c r="A103">
        <f>ROW(Source!A69)</f>
        <v>69</v>
      </c>
      <c r="B103">
        <v>39616881</v>
      </c>
      <c r="C103">
        <v>39617482</v>
      </c>
      <c r="D103">
        <v>37064876</v>
      </c>
      <c r="E103">
        <v>1</v>
      </c>
      <c r="F103">
        <v>1</v>
      </c>
      <c r="G103">
        <v>1</v>
      </c>
      <c r="H103">
        <v>1</v>
      </c>
      <c r="I103" t="s">
        <v>460</v>
      </c>
      <c r="J103" t="s">
        <v>3</v>
      </c>
      <c r="K103" t="s">
        <v>461</v>
      </c>
      <c r="L103">
        <v>1191</v>
      </c>
      <c r="N103">
        <v>1013</v>
      </c>
      <c r="O103" t="s">
        <v>459</v>
      </c>
      <c r="P103" t="s">
        <v>459</v>
      </c>
      <c r="Q103">
        <v>1</v>
      </c>
      <c r="W103">
        <v>0</v>
      </c>
      <c r="X103">
        <v>-1417349443</v>
      </c>
      <c r="Y103">
        <v>0.01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6.61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0.01</v>
      </c>
      <c r="AU103" t="s">
        <v>3</v>
      </c>
      <c r="AV103">
        <v>2</v>
      </c>
      <c r="AW103">
        <v>2</v>
      </c>
      <c r="AX103">
        <v>39617484</v>
      </c>
      <c r="AY103">
        <v>1</v>
      </c>
      <c r="AZ103">
        <v>0</v>
      </c>
      <c r="BA103">
        <v>98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Y103*Source!I69</f>
        <v>1.8E-3</v>
      </c>
      <c r="CY103">
        <f>AD103</f>
        <v>0</v>
      </c>
      <c r="CZ103">
        <f>AH103</f>
        <v>0</v>
      </c>
      <c r="DA103">
        <f>AL103</f>
        <v>1</v>
      </c>
      <c r="DB103">
        <v>0</v>
      </c>
    </row>
    <row r="104" spans="1:106" x14ac:dyDescent="0.2">
      <c r="A104">
        <f>ROW(Source!A69)</f>
        <v>69</v>
      </c>
      <c r="B104">
        <v>39616881</v>
      </c>
      <c r="C104">
        <v>39617482</v>
      </c>
      <c r="D104">
        <v>36883554</v>
      </c>
      <c r="E104">
        <v>1</v>
      </c>
      <c r="F104">
        <v>1</v>
      </c>
      <c r="G104">
        <v>1</v>
      </c>
      <c r="H104">
        <v>2</v>
      </c>
      <c r="I104" t="s">
        <v>468</v>
      </c>
      <c r="J104" t="s">
        <v>469</v>
      </c>
      <c r="K104" t="s">
        <v>470</v>
      </c>
      <c r="L104">
        <v>1368</v>
      </c>
      <c r="N104">
        <v>1011</v>
      </c>
      <c r="O104" t="s">
        <v>465</v>
      </c>
      <c r="P104" t="s">
        <v>465</v>
      </c>
      <c r="Q104">
        <v>1</v>
      </c>
      <c r="W104">
        <v>0</v>
      </c>
      <c r="X104">
        <v>1372534845</v>
      </c>
      <c r="Y104">
        <v>0.01</v>
      </c>
      <c r="AA104">
        <v>0</v>
      </c>
      <c r="AB104">
        <v>434.34</v>
      </c>
      <c r="AC104">
        <v>11.6</v>
      </c>
      <c r="AD104">
        <v>0</v>
      </c>
      <c r="AE104">
        <v>0</v>
      </c>
      <c r="AF104">
        <v>65.709999999999994</v>
      </c>
      <c r="AG104">
        <v>11.6</v>
      </c>
      <c r="AH104">
        <v>0</v>
      </c>
      <c r="AI104">
        <v>1</v>
      </c>
      <c r="AJ104">
        <v>6.61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0.01</v>
      </c>
      <c r="AU104" t="s">
        <v>3</v>
      </c>
      <c r="AV104">
        <v>0</v>
      </c>
      <c r="AW104">
        <v>2</v>
      </c>
      <c r="AX104">
        <v>39617485</v>
      </c>
      <c r="AY104">
        <v>1</v>
      </c>
      <c r="AZ104">
        <v>0</v>
      </c>
      <c r="BA104">
        <v>99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Y104*Source!I69</f>
        <v>1.8E-3</v>
      </c>
      <c r="CY104">
        <f>AB104</f>
        <v>434.34</v>
      </c>
      <c r="CZ104">
        <f>AF104</f>
        <v>65.709999999999994</v>
      </c>
      <c r="DA104">
        <f>AJ104</f>
        <v>6.61</v>
      </c>
      <c r="DB104">
        <v>0</v>
      </c>
    </row>
    <row r="105" spans="1:106" x14ac:dyDescent="0.2">
      <c r="A105">
        <f>ROW(Source!A69)</f>
        <v>69</v>
      </c>
      <c r="B105">
        <v>39616881</v>
      </c>
      <c r="C105">
        <v>39617482</v>
      </c>
      <c r="D105">
        <v>36805524</v>
      </c>
      <c r="E105">
        <v>1</v>
      </c>
      <c r="F105">
        <v>1</v>
      </c>
      <c r="G105">
        <v>1</v>
      </c>
      <c r="H105">
        <v>3</v>
      </c>
      <c r="I105" t="s">
        <v>490</v>
      </c>
      <c r="J105" t="s">
        <v>491</v>
      </c>
      <c r="K105" t="s">
        <v>492</v>
      </c>
      <c r="L105">
        <v>1346</v>
      </c>
      <c r="N105">
        <v>1009</v>
      </c>
      <c r="O105" t="s">
        <v>77</v>
      </c>
      <c r="P105" t="s">
        <v>77</v>
      </c>
      <c r="Q105">
        <v>1</v>
      </c>
      <c r="W105">
        <v>0</v>
      </c>
      <c r="X105">
        <v>813963326</v>
      </c>
      <c r="Y105">
        <v>0.1</v>
      </c>
      <c r="AA105">
        <v>12.03</v>
      </c>
      <c r="AB105">
        <v>0</v>
      </c>
      <c r="AC105">
        <v>0</v>
      </c>
      <c r="AD105">
        <v>0</v>
      </c>
      <c r="AE105">
        <v>1.82</v>
      </c>
      <c r="AF105">
        <v>0</v>
      </c>
      <c r="AG105">
        <v>0</v>
      </c>
      <c r="AH105">
        <v>0</v>
      </c>
      <c r="AI105">
        <v>6.61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0.1</v>
      </c>
      <c r="AU105" t="s">
        <v>3</v>
      </c>
      <c r="AV105">
        <v>0</v>
      </c>
      <c r="AW105">
        <v>2</v>
      </c>
      <c r="AX105">
        <v>39617486</v>
      </c>
      <c r="AY105">
        <v>1</v>
      </c>
      <c r="AZ105">
        <v>0</v>
      </c>
      <c r="BA105">
        <v>100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Y105*Source!I69</f>
        <v>1.7999999999999999E-2</v>
      </c>
      <c r="CY105">
        <f>AA105</f>
        <v>12.03</v>
      </c>
      <c r="CZ105">
        <f>AE105</f>
        <v>1.82</v>
      </c>
      <c r="DA105">
        <f>AI105</f>
        <v>6.61</v>
      </c>
      <c r="DB105">
        <v>0</v>
      </c>
    </row>
    <row r="106" spans="1:106" x14ac:dyDescent="0.2">
      <c r="A106">
        <f>ROW(Source!A69)</f>
        <v>69</v>
      </c>
      <c r="B106">
        <v>39616881</v>
      </c>
      <c r="C106">
        <v>39617482</v>
      </c>
      <c r="D106">
        <v>36797575</v>
      </c>
      <c r="E106">
        <v>17</v>
      </c>
      <c r="F106">
        <v>1</v>
      </c>
      <c r="G106">
        <v>1</v>
      </c>
      <c r="H106">
        <v>3</v>
      </c>
      <c r="I106" t="s">
        <v>199</v>
      </c>
      <c r="J106" t="s">
        <v>3</v>
      </c>
      <c r="K106" t="s">
        <v>200</v>
      </c>
      <c r="L106">
        <v>1348</v>
      </c>
      <c r="N106">
        <v>1009</v>
      </c>
      <c r="O106" t="s">
        <v>72</v>
      </c>
      <c r="P106" t="s">
        <v>72</v>
      </c>
      <c r="Q106">
        <v>1000</v>
      </c>
      <c r="W106">
        <v>0</v>
      </c>
      <c r="X106">
        <v>84301199</v>
      </c>
      <c r="Y106">
        <v>1.61E-2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6.61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3</v>
      </c>
      <c r="AT106">
        <v>1.61E-2</v>
      </c>
      <c r="AU106" t="s">
        <v>3</v>
      </c>
      <c r="AV106">
        <v>0</v>
      </c>
      <c r="AW106">
        <v>2</v>
      </c>
      <c r="AX106">
        <v>39617487</v>
      </c>
      <c r="AY106">
        <v>1</v>
      </c>
      <c r="AZ106">
        <v>0</v>
      </c>
      <c r="BA106">
        <v>101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Y106*Source!I69</f>
        <v>2.898E-3</v>
      </c>
      <c r="CY106">
        <f>AA106</f>
        <v>0</v>
      </c>
      <c r="CZ106">
        <f>AE106</f>
        <v>0</v>
      </c>
      <c r="DA106">
        <f>AI106</f>
        <v>6.61</v>
      </c>
      <c r="DB106">
        <v>0</v>
      </c>
    </row>
    <row r="107" spans="1:106" x14ac:dyDescent="0.2">
      <c r="A107">
        <f>ROW(Source!A69)</f>
        <v>69</v>
      </c>
      <c r="B107">
        <v>39616881</v>
      </c>
      <c r="C107">
        <v>39617482</v>
      </c>
      <c r="D107">
        <v>36838951</v>
      </c>
      <c r="E107">
        <v>1</v>
      </c>
      <c r="F107">
        <v>1</v>
      </c>
      <c r="G107">
        <v>1</v>
      </c>
      <c r="H107">
        <v>3</v>
      </c>
      <c r="I107" t="s">
        <v>559</v>
      </c>
      <c r="J107" t="s">
        <v>560</v>
      </c>
      <c r="K107" t="s">
        <v>561</v>
      </c>
      <c r="L107">
        <v>1348</v>
      </c>
      <c r="N107">
        <v>1009</v>
      </c>
      <c r="O107" t="s">
        <v>72</v>
      </c>
      <c r="P107" t="s">
        <v>72</v>
      </c>
      <c r="Q107">
        <v>1000</v>
      </c>
      <c r="W107">
        <v>0</v>
      </c>
      <c r="X107">
        <v>-909021926</v>
      </c>
      <c r="Y107">
        <v>8.9999999999999993E-3</v>
      </c>
      <c r="AA107">
        <v>112039.5</v>
      </c>
      <c r="AB107">
        <v>0</v>
      </c>
      <c r="AC107">
        <v>0</v>
      </c>
      <c r="AD107">
        <v>0</v>
      </c>
      <c r="AE107">
        <v>16950</v>
      </c>
      <c r="AF107">
        <v>0</v>
      </c>
      <c r="AG107">
        <v>0</v>
      </c>
      <c r="AH107">
        <v>0</v>
      </c>
      <c r="AI107">
        <v>6.61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8.9999999999999993E-3</v>
      </c>
      <c r="AU107" t="s">
        <v>3</v>
      </c>
      <c r="AV107">
        <v>0</v>
      </c>
      <c r="AW107">
        <v>2</v>
      </c>
      <c r="AX107">
        <v>39617488</v>
      </c>
      <c r="AY107">
        <v>1</v>
      </c>
      <c r="AZ107">
        <v>0</v>
      </c>
      <c r="BA107">
        <v>102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Y107*Source!I69</f>
        <v>1.6199999999999999E-3</v>
      </c>
      <c r="CY107">
        <f>AA107</f>
        <v>112039.5</v>
      </c>
      <c r="CZ107">
        <f>AE107</f>
        <v>16950</v>
      </c>
      <c r="DA107">
        <f>AI107</f>
        <v>6.61</v>
      </c>
      <c r="DB107">
        <v>0</v>
      </c>
    </row>
    <row r="108" spans="1:106" x14ac:dyDescent="0.2">
      <c r="A108">
        <f>ROW(Source!A105)</f>
        <v>105</v>
      </c>
      <c r="B108">
        <v>39616881</v>
      </c>
      <c r="C108">
        <v>39617556</v>
      </c>
      <c r="D108">
        <v>37066491</v>
      </c>
      <c r="E108">
        <v>1</v>
      </c>
      <c r="F108">
        <v>1</v>
      </c>
      <c r="G108">
        <v>1</v>
      </c>
      <c r="H108">
        <v>1</v>
      </c>
      <c r="I108" t="s">
        <v>562</v>
      </c>
      <c r="J108" t="s">
        <v>3</v>
      </c>
      <c r="K108" t="s">
        <v>563</v>
      </c>
      <c r="L108">
        <v>1191</v>
      </c>
      <c r="N108">
        <v>1013</v>
      </c>
      <c r="O108" t="s">
        <v>459</v>
      </c>
      <c r="P108" t="s">
        <v>459</v>
      </c>
      <c r="Q108">
        <v>1</v>
      </c>
      <c r="W108">
        <v>0</v>
      </c>
      <c r="X108">
        <v>-228054128</v>
      </c>
      <c r="Y108">
        <v>17.89</v>
      </c>
      <c r="AA108">
        <v>0</v>
      </c>
      <c r="AB108">
        <v>0</v>
      </c>
      <c r="AC108">
        <v>0</v>
      </c>
      <c r="AD108">
        <v>53.01</v>
      </c>
      <c r="AE108">
        <v>0</v>
      </c>
      <c r="AF108">
        <v>0</v>
      </c>
      <c r="AG108">
        <v>0</v>
      </c>
      <c r="AH108">
        <v>8.02</v>
      </c>
      <c r="AI108">
        <v>1</v>
      </c>
      <c r="AJ108">
        <v>1</v>
      </c>
      <c r="AK108">
        <v>1</v>
      </c>
      <c r="AL108">
        <v>6.61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17.89</v>
      </c>
      <c r="AU108" t="s">
        <v>3</v>
      </c>
      <c r="AV108">
        <v>1</v>
      </c>
      <c r="AW108">
        <v>2</v>
      </c>
      <c r="AX108">
        <v>39617557</v>
      </c>
      <c r="AY108">
        <v>1</v>
      </c>
      <c r="AZ108">
        <v>0</v>
      </c>
      <c r="BA108">
        <v>103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Y108*Source!I105</f>
        <v>5.9037000000000006</v>
      </c>
      <c r="CY108">
        <f>AD108</f>
        <v>53.01</v>
      </c>
      <c r="CZ108">
        <f>AH108</f>
        <v>8.02</v>
      </c>
      <c r="DA108">
        <f>AL108</f>
        <v>6.61</v>
      </c>
      <c r="DB108">
        <v>0</v>
      </c>
    </row>
    <row r="109" spans="1:106" x14ac:dyDescent="0.2">
      <c r="A109">
        <f>ROW(Source!A105)</f>
        <v>105</v>
      </c>
      <c r="B109">
        <v>39616881</v>
      </c>
      <c r="C109">
        <v>39617556</v>
      </c>
      <c r="D109">
        <v>37064876</v>
      </c>
      <c r="E109">
        <v>1</v>
      </c>
      <c r="F109">
        <v>1</v>
      </c>
      <c r="G109">
        <v>1</v>
      </c>
      <c r="H109">
        <v>1</v>
      </c>
      <c r="I109" t="s">
        <v>460</v>
      </c>
      <c r="J109" t="s">
        <v>3</v>
      </c>
      <c r="K109" t="s">
        <v>461</v>
      </c>
      <c r="L109">
        <v>1191</v>
      </c>
      <c r="N109">
        <v>1013</v>
      </c>
      <c r="O109" t="s">
        <v>459</v>
      </c>
      <c r="P109" t="s">
        <v>459</v>
      </c>
      <c r="Q109">
        <v>1</v>
      </c>
      <c r="W109">
        <v>0</v>
      </c>
      <c r="X109">
        <v>-1417349443</v>
      </c>
      <c r="Y109">
        <v>0.08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6.61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0.08</v>
      </c>
      <c r="AU109" t="s">
        <v>3</v>
      </c>
      <c r="AV109">
        <v>2</v>
      </c>
      <c r="AW109">
        <v>2</v>
      </c>
      <c r="AX109">
        <v>39617558</v>
      </c>
      <c r="AY109">
        <v>1</v>
      </c>
      <c r="AZ109">
        <v>0</v>
      </c>
      <c r="BA109">
        <v>104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Y109*Source!I105</f>
        <v>2.6400000000000003E-2</v>
      </c>
      <c r="CY109">
        <f>AD109</f>
        <v>0</v>
      </c>
      <c r="CZ109">
        <f>AH109</f>
        <v>0</v>
      </c>
      <c r="DA109">
        <f>AL109</f>
        <v>1</v>
      </c>
      <c r="DB109">
        <v>0</v>
      </c>
    </row>
    <row r="110" spans="1:106" x14ac:dyDescent="0.2">
      <c r="A110">
        <f>ROW(Source!A105)</f>
        <v>105</v>
      </c>
      <c r="B110">
        <v>39616881</v>
      </c>
      <c r="C110">
        <v>39617556</v>
      </c>
      <c r="D110">
        <v>36882452</v>
      </c>
      <c r="E110">
        <v>1</v>
      </c>
      <c r="F110">
        <v>1</v>
      </c>
      <c r="G110">
        <v>1</v>
      </c>
      <c r="H110">
        <v>2</v>
      </c>
      <c r="I110" t="s">
        <v>462</v>
      </c>
      <c r="J110" t="s">
        <v>463</v>
      </c>
      <c r="K110" t="s">
        <v>464</v>
      </c>
      <c r="L110">
        <v>1368</v>
      </c>
      <c r="N110">
        <v>1011</v>
      </c>
      <c r="O110" t="s">
        <v>465</v>
      </c>
      <c r="P110" t="s">
        <v>465</v>
      </c>
      <c r="Q110">
        <v>1</v>
      </c>
      <c r="W110">
        <v>0</v>
      </c>
      <c r="X110">
        <v>1188625873</v>
      </c>
      <c r="Y110">
        <v>0.08</v>
      </c>
      <c r="AA110">
        <v>0</v>
      </c>
      <c r="AB110">
        <v>206.63</v>
      </c>
      <c r="AC110">
        <v>13.5</v>
      </c>
      <c r="AD110">
        <v>0</v>
      </c>
      <c r="AE110">
        <v>0</v>
      </c>
      <c r="AF110">
        <v>31.26</v>
      </c>
      <c r="AG110">
        <v>13.5</v>
      </c>
      <c r="AH110">
        <v>0</v>
      </c>
      <c r="AI110">
        <v>1</v>
      </c>
      <c r="AJ110">
        <v>6.61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0.08</v>
      </c>
      <c r="AU110" t="s">
        <v>3</v>
      </c>
      <c r="AV110">
        <v>0</v>
      </c>
      <c r="AW110">
        <v>2</v>
      </c>
      <c r="AX110">
        <v>39617559</v>
      </c>
      <c r="AY110">
        <v>1</v>
      </c>
      <c r="AZ110">
        <v>0</v>
      </c>
      <c r="BA110">
        <v>105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Y110*Source!I105</f>
        <v>2.6400000000000003E-2</v>
      </c>
      <c r="CY110">
        <f>AB110</f>
        <v>206.63</v>
      </c>
      <c r="CZ110">
        <f>AF110</f>
        <v>31.26</v>
      </c>
      <c r="DA110">
        <f>AJ110</f>
        <v>6.61</v>
      </c>
      <c r="DB110">
        <v>0</v>
      </c>
    </row>
    <row r="111" spans="1:106" x14ac:dyDescent="0.2">
      <c r="A111">
        <f>ROW(Source!A106)</f>
        <v>106</v>
      </c>
      <c r="B111">
        <v>39616881</v>
      </c>
      <c r="C111">
        <v>39617560</v>
      </c>
      <c r="D111">
        <v>37077359</v>
      </c>
      <c r="E111">
        <v>1</v>
      </c>
      <c r="F111">
        <v>1</v>
      </c>
      <c r="G111">
        <v>1</v>
      </c>
      <c r="H111">
        <v>1</v>
      </c>
      <c r="I111" t="s">
        <v>564</v>
      </c>
      <c r="J111" t="s">
        <v>3</v>
      </c>
      <c r="K111" t="s">
        <v>565</v>
      </c>
      <c r="L111">
        <v>1191</v>
      </c>
      <c r="N111">
        <v>1013</v>
      </c>
      <c r="O111" t="s">
        <v>459</v>
      </c>
      <c r="P111" t="s">
        <v>459</v>
      </c>
      <c r="Q111">
        <v>1</v>
      </c>
      <c r="W111">
        <v>0</v>
      </c>
      <c r="X111">
        <v>-362667798</v>
      </c>
      <c r="Y111">
        <v>0.27</v>
      </c>
      <c r="AA111">
        <v>0</v>
      </c>
      <c r="AB111">
        <v>0</v>
      </c>
      <c r="AC111">
        <v>0</v>
      </c>
      <c r="AD111">
        <v>69.41</v>
      </c>
      <c r="AE111">
        <v>0</v>
      </c>
      <c r="AF111">
        <v>0</v>
      </c>
      <c r="AG111">
        <v>0</v>
      </c>
      <c r="AH111">
        <v>10.5</v>
      </c>
      <c r="AI111">
        <v>1</v>
      </c>
      <c r="AJ111">
        <v>1</v>
      </c>
      <c r="AK111">
        <v>1</v>
      </c>
      <c r="AL111">
        <v>6.61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0.9</v>
      </c>
      <c r="AU111" t="s">
        <v>267</v>
      </c>
      <c r="AV111">
        <v>1</v>
      </c>
      <c r="AW111">
        <v>2</v>
      </c>
      <c r="AX111">
        <v>39617561</v>
      </c>
      <c r="AY111">
        <v>1</v>
      </c>
      <c r="AZ111">
        <v>0</v>
      </c>
      <c r="BA111">
        <v>106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Y111*Source!I106</f>
        <v>0.27</v>
      </c>
      <c r="CY111">
        <f>AD111</f>
        <v>69.41</v>
      </c>
      <c r="CZ111">
        <f>AH111</f>
        <v>10.5</v>
      </c>
      <c r="DA111">
        <f>AL111</f>
        <v>6.61</v>
      </c>
      <c r="DB111">
        <v>0</v>
      </c>
    </row>
    <row r="112" spans="1:106" x14ac:dyDescent="0.2">
      <c r="A112">
        <f>ROW(Source!A106)</f>
        <v>106</v>
      </c>
      <c r="B112">
        <v>39616881</v>
      </c>
      <c r="C112">
        <v>39617560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460</v>
      </c>
      <c r="J112" t="s">
        <v>3</v>
      </c>
      <c r="K112" t="s">
        <v>461</v>
      </c>
      <c r="L112">
        <v>1191</v>
      </c>
      <c r="N112">
        <v>1013</v>
      </c>
      <c r="O112" t="s">
        <v>459</v>
      </c>
      <c r="P112" t="s">
        <v>459</v>
      </c>
      <c r="Q112">
        <v>1</v>
      </c>
      <c r="W112">
        <v>0</v>
      </c>
      <c r="X112">
        <v>-1417349443</v>
      </c>
      <c r="Y112">
        <v>0.2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6.61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0.2</v>
      </c>
      <c r="AU112" t="s">
        <v>3</v>
      </c>
      <c r="AV112">
        <v>2</v>
      </c>
      <c r="AW112">
        <v>2</v>
      </c>
      <c r="AX112">
        <v>39617562</v>
      </c>
      <c r="AY112">
        <v>1</v>
      </c>
      <c r="AZ112">
        <v>2048</v>
      </c>
      <c r="BA112">
        <v>107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Y112*Source!I106</f>
        <v>0.2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ROW(Source!A106)</f>
        <v>106</v>
      </c>
      <c r="B113">
        <v>39616881</v>
      </c>
      <c r="C113">
        <v>39617560</v>
      </c>
      <c r="D113">
        <v>36882159</v>
      </c>
      <c r="E113">
        <v>1</v>
      </c>
      <c r="F113">
        <v>1</v>
      </c>
      <c r="G113">
        <v>1</v>
      </c>
      <c r="H113">
        <v>2</v>
      </c>
      <c r="I113" t="s">
        <v>566</v>
      </c>
      <c r="J113" t="s">
        <v>567</v>
      </c>
      <c r="K113" t="s">
        <v>568</v>
      </c>
      <c r="L113">
        <v>1368</v>
      </c>
      <c r="N113">
        <v>1011</v>
      </c>
      <c r="O113" t="s">
        <v>465</v>
      </c>
      <c r="P113" t="s">
        <v>465</v>
      </c>
      <c r="Q113">
        <v>1</v>
      </c>
      <c r="W113">
        <v>0</v>
      </c>
      <c r="X113">
        <v>-1718674368</v>
      </c>
      <c r="Y113">
        <v>0.03</v>
      </c>
      <c r="AA113">
        <v>0</v>
      </c>
      <c r="AB113">
        <v>740.25</v>
      </c>
      <c r="AC113">
        <v>13.5</v>
      </c>
      <c r="AD113">
        <v>0</v>
      </c>
      <c r="AE113">
        <v>0</v>
      </c>
      <c r="AF113">
        <v>111.99</v>
      </c>
      <c r="AG113">
        <v>13.5</v>
      </c>
      <c r="AH113">
        <v>0</v>
      </c>
      <c r="AI113">
        <v>1</v>
      </c>
      <c r="AJ113">
        <v>6.61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0.1</v>
      </c>
      <c r="AU113" t="s">
        <v>267</v>
      </c>
      <c r="AV113">
        <v>0</v>
      </c>
      <c r="AW113">
        <v>2</v>
      </c>
      <c r="AX113">
        <v>39617563</v>
      </c>
      <c r="AY113">
        <v>1</v>
      </c>
      <c r="AZ113">
        <v>0</v>
      </c>
      <c r="BA113">
        <v>108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Y113*Source!I106</f>
        <v>0.03</v>
      </c>
      <c r="CY113">
        <f>AB113</f>
        <v>740.25</v>
      </c>
      <c r="CZ113">
        <f>AF113</f>
        <v>111.99</v>
      </c>
      <c r="DA113">
        <f>AJ113</f>
        <v>6.61</v>
      </c>
      <c r="DB113">
        <v>0</v>
      </c>
    </row>
    <row r="114" spans="1:106" x14ac:dyDescent="0.2">
      <c r="A114">
        <f>ROW(Source!A106)</f>
        <v>106</v>
      </c>
      <c r="B114">
        <v>39616881</v>
      </c>
      <c r="C114">
        <v>39617560</v>
      </c>
      <c r="D114">
        <v>36883554</v>
      </c>
      <c r="E114">
        <v>1</v>
      </c>
      <c r="F114">
        <v>1</v>
      </c>
      <c r="G114">
        <v>1</v>
      </c>
      <c r="H114">
        <v>2</v>
      </c>
      <c r="I114" t="s">
        <v>468</v>
      </c>
      <c r="J114" t="s">
        <v>469</v>
      </c>
      <c r="K114" t="s">
        <v>470</v>
      </c>
      <c r="L114">
        <v>1368</v>
      </c>
      <c r="N114">
        <v>1011</v>
      </c>
      <c r="O114" t="s">
        <v>465</v>
      </c>
      <c r="P114" t="s">
        <v>465</v>
      </c>
      <c r="Q114">
        <v>1</v>
      </c>
      <c r="W114">
        <v>0</v>
      </c>
      <c r="X114">
        <v>1372534845</v>
      </c>
      <c r="Y114">
        <v>0.03</v>
      </c>
      <c r="AA114">
        <v>0</v>
      </c>
      <c r="AB114">
        <v>434.34</v>
      </c>
      <c r="AC114">
        <v>11.6</v>
      </c>
      <c r="AD114">
        <v>0</v>
      </c>
      <c r="AE114">
        <v>0</v>
      </c>
      <c r="AF114">
        <v>65.709999999999994</v>
      </c>
      <c r="AG114">
        <v>11.6</v>
      </c>
      <c r="AH114">
        <v>0</v>
      </c>
      <c r="AI114">
        <v>1</v>
      </c>
      <c r="AJ114">
        <v>6.61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0.1</v>
      </c>
      <c r="AU114" t="s">
        <v>267</v>
      </c>
      <c r="AV114">
        <v>0</v>
      </c>
      <c r="AW114">
        <v>2</v>
      </c>
      <c r="AX114">
        <v>39617564</v>
      </c>
      <c r="AY114">
        <v>1</v>
      </c>
      <c r="AZ114">
        <v>0</v>
      </c>
      <c r="BA114">
        <v>109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Y114*Source!I106</f>
        <v>0.03</v>
      </c>
      <c r="CY114">
        <f>AB114</f>
        <v>434.34</v>
      </c>
      <c r="CZ114">
        <f>AF114</f>
        <v>65.709999999999994</v>
      </c>
      <c r="DA114">
        <f>AJ114</f>
        <v>6.61</v>
      </c>
      <c r="DB114">
        <v>0</v>
      </c>
    </row>
    <row r="115" spans="1:106" x14ac:dyDescent="0.2">
      <c r="A115">
        <f>ROW(Source!A106)</f>
        <v>106</v>
      </c>
      <c r="B115">
        <v>39616881</v>
      </c>
      <c r="C115">
        <v>39617560</v>
      </c>
      <c r="D115">
        <v>36802094</v>
      </c>
      <c r="E115">
        <v>1</v>
      </c>
      <c r="F115">
        <v>1</v>
      </c>
      <c r="G115">
        <v>1</v>
      </c>
      <c r="H115">
        <v>3</v>
      </c>
      <c r="I115" t="s">
        <v>569</v>
      </c>
      <c r="J115" t="s">
        <v>570</v>
      </c>
      <c r="K115" t="s">
        <v>571</v>
      </c>
      <c r="L115">
        <v>1346</v>
      </c>
      <c r="N115">
        <v>1009</v>
      </c>
      <c r="O115" t="s">
        <v>77</v>
      </c>
      <c r="P115" t="s">
        <v>77</v>
      </c>
      <c r="Q115">
        <v>1</v>
      </c>
      <c r="W115">
        <v>0</v>
      </c>
      <c r="X115">
        <v>-1088866022</v>
      </c>
      <c r="Y115">
        <v>0</v>
      </c>
      <c r="AA115">
        <v>200.94</v>
      </c>
      <c r="AB115">
        <v>0</v>
      </c>
      <c r="AC115">
        <v>0</v>
      </c>
      <c r="AD115">
        <v>0</v>
      </c>
      <c r="AE115">
        <v>30.4</v>
      </c>
      <c r="AF115">
        <v>0</v>
      </c>
      <c r="AG115">
        <v>0</v>
      </c>
      <c r="AH115">
        <v>0</v>
      </c>
      <c r="AI115">
        <v>6.61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0.01</v>
      </c>
      <c r="AU115" t="s">
        <v>266</v>
      </c>
      <c r="AV115">
        <v>0</v>
      </c>
      <c r="AW115">
        <v>2</v>
      </c>
      <c r="AX115">
        <v>39617565</v>
      </c>
      <c r="AY115">
        <v>1</v>
      </c>
      <c r="AZ115">
        <v>0</v>
      </c>
      <c r="BA115">
        <v>110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Y115*Source!I106</f>
        <v>0</v>
      </c>
      <c r="CY115">
        <f>AA115</f>
        <v>200.94</v>
      </c>
      <c r="CZ115">
        <f>AE115</f>
        <v>30.4</v>
      </c>
      <c r="DA115">
        <f>AI115</f>
        <v>6.61</v>
      </c>
      <c r="DB115">
        <v>0</v>
      </c>
    </row>
    <row r="116" spans="1:106" x14ac:dyDescent="0.2">
      <c r="A116">
        <f>ROW(Source!A106)</f>
        <v>106</v>
      </c>
      <c r="B116">
        <v>39616881</v>
      </c>
      <c r="C116">
        <v>39617560</v>
      </c>
      <c r="D116">
        <v>36804448</v>
      </c>
      <c r="E116">
        <v>1</v>
      </c>
      <c r="F116">
        <v>1</v>
      </c>
      <c r="G116">
        <v>1</v>
      </c>
      <c r="H116">
        <v>3</v>
      </c>
      <c r="I116" t="s">
        <v>572</v>
      </c>
      <c r="J116" t="s">
        <v>573</v>
      </c>
      <c r="K116" t="s">
        <v>574</v>
      </c>
      <c r="L116">
        <v>1346</v>
      </c>
      <c r="N116">
        <v>1009</v>
      </c>
      <c r="O116" t="s">
        <v>77</v>
      </c>
      <c r="P116" t="s">
        <v>77</v>
      </c>
      <c r="Q116">
        <v>1</v>
      </c>
      <c r="W116">
        <v>0</v>
      </c>
      <c r="X116">
        <v>103900845</v>
      </c>
      <c r="Y116">
        <v>0</v>
      </c>
      <c r="AA116">
        <v>59.75</v>
      </c>
      <c r="AB116">
        <v>0</v>
      </c>
      <c r="AC116">
        <v>0</v>
      </c>
      <c r="AD116">
        <v>0</v>
      </c>
      <c r="AE116">
        <v>9.0399999999999991</v>
      </c>
      <c r="AF116">
        <v>0</v>
      </c>
      <c r="AG116">
        <v>0</v>
      </c>
      <c r="AH116">
        <v>0</v>
      </c>
      <c r="AI116">
        <v>6.61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0.3</v>
      </c>
      <c r="AU116" t="s">
        <v>266</v>
      </c>
      <c r="AV116">
        <v>0</v>
      </c>
      <c r="AW116">
        <v>2</v>
      </c>
      <c r="AX116">
        <v>39617566</v>
      </c>
      <c r="AY116">
        <v>1</v>
      </c>
      <c r="AZ116">
        <v>0</v>
      </c>
      <c r="BA116">
        <v>111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Y116*Source!I106</f>
        <v>0</v>
      </c>
      <c r="CY116">
        <f>AA116</f>
        <v>59.75</v>
      </c>
      <c r="CZ116">
        <f>AE116</f>
        <v>9.0399999999999991</v>
      </c>
      <c r="DA116">
        <f>AI116</f>
        <v>6.61</v>
      </c>
      <c r="DB116">
        <v>0</v>
      </c>
    </row>
    <row r="117" spans="1:106" x14ac:dyDescent="0.2">
      <c r="A117">
        <f>ROW(Source!A106)</f>
        <v>106</v>
      </c>
      <c r="B117">
        <v>39616881</v>
      </c>
      <c r="C117">
        <v>39617560</v>
      </c>
      <c r="D117">
        <v>36825981</v>
      </c>
      <c r="E117">
        <v>1</v>
      </c>
      <c r="F117">
        <v>1</v>
      </c>
      <c r="G117">
        <v>1</v>
      </c>
      <c r="H117">
        <v>3</v>
      </c>
      <c r="I117" t="s">
        <v>575</v>
      </c>
      <c r="J117" t="s">
        <v>576</v>
      </c>
      <c r="K117" t="s">
        <v>577</v>
      </c>
      <c r="L117">
        <v>1348</v>
      </c>
      <c r="N117">
        <v>1009</v>
      </c>
      <c r="O117" t="s">
        <v>72</v>
      </c>
      <c r="P117" t="s">
        <v>72</v>
      </c>
      <c r="Q117">
        <v>1000</v>
      </c>
      <c r="W117">
        <v>0</v>
      </c>
      <c r="X117">
        <v>-1598896989</v>
      </c>
      <c r="Y117">
        <v>0</v>
      </c>
      <c r="AA117">
        <v>33050</v>
      </c>
      <c r="AB117">
        <v>0</v>
      </c>
      <c r="AC117">
        <v>0</v>
      </c>
      <c r="AD117">
        <v>0</v>
      </c>
      <c r="AE117">
        <v>5000</v>
      </c>
      <c r="AF117">
        <v>0</v>
      </c>
      <c r="AG117">
        <v>0</v>
      </c>
      <c r="AH117">
        <v>0</v>
      </c>
      <c r="AI117">
        <v>6.61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5.9999999999999995E-4</v>
      </c>
      <c r="AU117" t="s">
        <v>266</v>
      </c>
      <c r="AV117">
        <v>0</v>
      </c>
      <c r="AW117">
        <v>2</v>
      </c>
      <c r="AX117">
        <v>39617567</v>
      </c>
      <c r="AY117">
        <v>1</v>
      </c>
      <c r="AZ117">
        <v>0</v>
      </c>
      <c r="BA117">
        <v>112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Y117*Source!I106</f>
        <v>0</v>
      </c>
      <c r="CY117">
        <f>AA117</f>
        <v>33050</v>
      </c>
      <c r="CZ117">
        <f>AE117</f>
        <v>5000</v>
      </c>
      <c r="DA117">
        <f>AI117</f>
        <v>6.61</v>
      </c>
      <c r="DB117">
        <v>0</v>
      </c>
    </row>
    <row r="118" spans="1:106" x14ac:dyDescent="0.2">
      <c r="A118">
        <f>ROW(Source!A106)</f>
        <v>106</v>
      </c>
      <c r="B118">
        <v>39616881</v>
      </c>
      <c r="C118">
        <v>39617560</v>
      </c>
      <c r="D118">
        <v>36799065</v>
      </c>
      <c r="E118">
        <v>17</v>
      </c>
      <c r="F118">
        <v>1</v>
      </c>
      <c r="G118">
        <v>1</v>
      </c>
      <c r="H118">
        <v>3</v>
      </c>
      <c r="I118" t="s">
        <v>578</v>
      </c>
      <c r="J118" t="s">
        <v>3</v>
      </c>
      <c r="K118" t="s">
        <v>579</v>
      </c>
      <c r="L118">
        <v>1374</v>
      </c>
      <c r="N118">
        <v>1013</v>
      </c>
      <c r="O118" t="s">
        <v>580</v>
      </c>
      <c r="P118" t="s">
        <v>580</v>
      </c>
      <c r="Q118">
        <v>1</v>
      </c>
      <c r="W118">
        <v>0</v>
      </c>
      <c r="X118">
        <v>-1731369543</v>
      </c>
      <c r="Y118">
        <v>0</v>
      </c>
      <c r="AA118">
        <v>1</v>
      </c>
      <c r="AB118">
        <v>0</v>
      </c>
      <c r="AC118">
        <v>0</v>
      </c>
      <c r="AD118">
        <v>0</v>
      </c>
      <c r="AE118">
        <v>1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0.19</v>
      </c>
      <c r="AU118" t="s">
        <v>266</v>
      </c>
      <c r="AV118">
        <v>0</v>
      </c>
      <c r="AW118">
        <v>2</v>
      </c>
      <c r="AX118">
        <v>39617568</v>
      </c>
      <c r="AY118">
        <v>1</v>
      </c>
      <c r="AZ118">
        <v>0</v>
      </c>
      <c r="BA118">
        <v>113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Y118*Source!I106</f>
        <v>0</v>
      </c>
      <c r="CY118">
        <f>AA118</f>
        <v>1</v>
      </c>
      <c r="CZ118">
        <f>AE118</f>
        <v>1</v>
      </c>
      <c r="DA118">
        <f>AI118</f>
        <v>1</v>
      </c>
      <c r="DB118">
        <v>0</v>
      </c>
    </row>
    <row r="119" spans="1:106" x14ac:dyDescent="0.2">
      <c r="A119">
        <f>ROW(Source!A107)</f>
        <v>107</v>
      </c>
      <c r="B119">
        <v>39616881</v>
      </c>
      <c r="C119">
        <v>39617569</v>
      </c>
      <c r="D119">
        <v>37064998</v>
      </c>
      <c r="E119">
        <v>1</v>
      </c>
      <c r="F119">
        <v>1</v>
      </c>
      <c r="G119">
        <v>1</v>
      </c>
      <c r="H119">
        <v>1</v>
      </c>
      <c r="I119" t="s">
        <v>457</v>
      </c>
      <c r="J119" t="s">
        <v>3</v>
      </c>
      <c r="K119" t="s">
        <v>458</v>
      </c>
      <c r="L119">
        <v>1191</v>
      </c>
      <c r="N119">
        <v>1013</v>
      </c>
      <c r="O119" t="s">
        <v>459</v>
      </c>
      <c r="P119" t="s">
        <v>459</v>
      </c>
      <c r="Q119">
        <v>1</v>
      </c>
      <c r="W119">
        <v>0</v>
      </c>
      <c r="X119">
        <v>735429535</v>
      </c>
      <c r="Y119">
        <v>5.84</v>
      </c>
      <c r="AA119">
        <v>0</v>
      </c>
      <c r="AB119">
        <v>0</v>
      </c>
      <c r="AC119">
        <v>0</v>
      </c>
      <c r="AD119">
        <v>51.56</v>
      </c>
      <c r="AE119">
        <v>0</v>
      </c>
      <c r="AF119">
        <v>0</v>
      </c>
      <c r="AG119">
        <v>0</v>
      </c>
      <c r="AH119">
        <v>7.8</v>
      </c>
      <c r="AI119">
        <v>1</v>
      </c>
      <c r="AJ119">
        <v>1</v>
      </c>
      <c r="AK119">
        <v>1</v>
      </c>
      <c r="AL119">
        <v>6.61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5.84</v>
      </c>
      <c r="AU119" t="s">
        <v>3</v>
      </c>
      <c r="AV119">
        <v>1</v>
      </c>
      <c r="AW119">
        <v>2</v>
      </c>
      <c r="AX119">
        <v>39617570</v>
      </c>
      <c r="AY119">
        <v>1</v>
      </c>
      <c r="AZ119">
        <v>0</v>
      </c>
      <c r="BA119">
        <v>114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Y119*Source!I107</f>
        <v>0.70079999999999998</v>
      </c>
      <c r="CY119">
        <f>AD119</f>
        <v>51.56</v>
      </c>
      <c r="CZ119">
        <f>AH119</f>
        <v>7.8</v>
      </c>
      <c r="DA119">
        <f>AL119</f>
        <v>6.61</v>
      </c>
      <c r="DB119">
        <v>0</v>
      </c>
    </row>
    <row r="120" spans="1:106" x14ac:dyDescent="0.2">
      <c r="A120">
        <f>ROW(Source!A108)</f>
        <v>108</v>
      </c>
      <c r="B120">
        <v>39616881</v>
      </c>
      <c r="C120">
        <v>39617572</v>
      </c>
      <c r="D120">
        <v>37080781</v>
      </c>
      <c r="E120">
        <v>1</v>
      </c>
      <c r="F120">
        <v>1</v>
      </c>
      <c r="G120">
        <v>1</v>
      </c>
      <c r="H120">
        <v>1</v>
      </c>
      <c r="I120" t="s">
        <v>581</v>
      </c>
      <c r="J120" t="s">
        <v>3</v>
      </c>
      <c r="K120" t="s">
        <v>582</v>
      </c>
      <c r="L120">
        <v>1191</v>
      </c>
      <c r="N120">
        <v>1013</v>
      </c>
      <c r="O120" t="s">
        <v>459</v>
      </c>
      <c r="P120" t="s">
        <v>459</v>
      </c>
      <c r="Q120">
        <v>1</v>
      </c>
      <c r="W120">
        <v>0</v>
      </c>
      <c r="X120">
        <v>912892513</v>
      </c>
      <c r="Y120">
        <v>94.4</v>
      </c>
      <c r="AA120">
        <v>0</v>
      </c>
      <c r="AB120">
        <v>0</v>
      </c>
      <c r="AC120">
        <v>0</v>
      </c>
      <c r="AD120">
        <v>65.569999999999993</v>
      </c>
      <c r="AE120">
        <v>0</v>
      </c>
      <c r="AF120">
        <v>0</v>
      </c>
      <c r="AG120">
        <v>0</v>
      </c>
      <c r="AH120">
        <v>9.92</v>
      </c>
      <c r="AI120">
        <v>1</v>
      </c>
      <c r="AJ120">
        <v>1</v>
      </c>
      <c r="AK120">
        <v>1</v>
      </c>
      <c r="AL120">
        <v>6.61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94.4</v>
      </c>
      <c r="AU120" t="s">
        <v>3</v>
      </c>
      <c r="AV120">
        <v>1</v>
      </c>
      <c r="AW120">
        <v>2</v>
      </c>
      <c r="AX120">
        <v>39617573</v>
      </c>
      <c r="AY120">
        <v>1</v>
      </c>
      <c r="AZ120">
        <v>0</v>
      </c>
      <c r="BA120">
        <v>115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Y120*Source!I108</f>
        <v>36.816000000000003</v>
      </c>
      <c r="CY120">
        <f>AD120</f>
        <v>65.569999999999993</v>
      </c>
      <c r="CZ120">
        <f>AH120</f>
        <v>9.92</v>
      </c>
      <c r="DA120">
        <f>AL120</f>
        <v>6.61</v>
      </c>
      <c r="DB120">
        <v>0</v>
      </c>
    </row>
    <row r="121" spans="1:106" x14ac:dyDescent="0.2">
      <c r="A121">
        <f>ROW(Source!A108)</f>
        <v>108</v>
      </c>
      <c r="B121">
        <v>39616881</v>
      </c>
      <c r="C121">
        <v>39617572</v>
      </c>
      <c r="D121">
        <v>37064876</v>
      </c>
      <c r="E121">
        <v>1</v>
      </c>
      <c r="F121">
        <v>1</v>
      </c>
      <c r="G121">
        <v>1</v>
      </c>
      <c r="H121">
        <v>1</v>
      </c>
      <c r="I121" t="s">
        <v>460</v>
      </c>
      <c r="J121" t="s">
        <v>3</v>
      </c>
      <c r="K121" t="s">
        <v>461</v>
      </c>
      <c r="L121">
        <v>1191</v>
      </c>
      <c r="N121">
        <v>1013</v>
      </c>
      <c r="O121" t="s">
        <v>459</v>
      </c>
      <c r="P121" t="s">
        <v>459</v>
      </c>
      <c r="Q121">
        <v>1</v>
      </c>
      <c r="W121">
        <v>0</v>
      </c>
      <c r="X121">
        <v>-1417349443</v>
      </c>
      <c r="Y121">
        <v>0.4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6.61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0.4</v>
      </c>
      <c r="AU121" t="s">
        <v>3</v>
      </c>
      <c r="AV121">
        <v>2</v>
      </c>
      <c r="AW121">
        <v>2</v>
      </c>
      <c r="AX121">
        <v>39617574</v>
      </c>
      <c r="AY121">
        <v>1</v>
      </c>
      <c r="AZ121">
        <v>0</v>
      </c>
      <c r="BA121">
        <v>116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Y121*Source!I108</f>
        <v>0.15600000000000003</v>
      </c>
      <c r="CY121">
        <f>AD121</f>
        <v>0</v>
      </c>
      <c r="CZ121">
        <f>AH121</f>
        <v>0</v>
      </c>
      <c r="DA121">
        <f>AL121</f>
        <v>1</v>
      </c>
      <c r="DB121">
        <v>0</v>
      </c>
    </row>
    <row r="122" spans="1:106" x14ac:dyDescent="0.2">
      <c r="A122">
        <f>ROW(Source!A108)</f>
        <v>108</v>
      </c>
      <c r="B122">
        <v>39616881</v>
      </c>
      <c r="C122">
        <v>39617572</v>
      </c>
      <c r="D122">
        <v>36882159</v>
      </c>
      <c r="E122">
        <v>1</v>
      </c>
      <c r="F122">
        <v>1</v>
      </c>
      <c r="G122">
        <v>1</v>
      </c>
      <c r="H122">
        <v>2</v>
      </c>
      <c r="I122" t="s">
        <v>566</v>
      </c>
      <c r="J122" t="s">
        <v>567</v>
      </c>
      <c r="K122" t="s">
        <v>568</v>
      </c>
      <c r="L122">
        <v>1368</v>
      </c>
      <c r="N122">
        <v>1011</v>
      </c>
      <c r="O122" t="s">
        <v>465</v>
      </c>
      <c r="P122" t="s">
        <v>465</v>
      </c>
      <c r="Q122">
        <v>1</v>
      </c>
      <c r="W122">
        <v>0</v>
      </c>
      <c r="X122">
        <v>-1718674368</v>
      </c>
      <c r="Y122">
        <v>0.2</v>
      </c>
      <c r="AA122">
        <v>0</v>
      </c>
      <c r="AB122">
        <v>740.25</v>
      </c>
      <c r="AC122">
        <v>13.5</v>
      </c>
      <c r="AD122">
        <v>0</v>
      </c>
      <c r="AE122">
        <v>0</v>
      </c>
      <c r="AF122">
        <v>111.99</v>
      </c>
      <c r="AG122">
        <v>13.5</v>
      </c>
      <c r="AH122">
        <v>0</v>
      </c>
      <c r="AI122">
        <v>1</v>
      </c>
      <c r="AJ122">
        <v>6.61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0.2</v>
      </c>
      <c r="AU122" t="s">
        <v>3</v>
      </c>
      <c r="AV122">
        <v>0</v>
      </c>
      <c r="AW122">
        <v>2</v>
      </c>
      <c r="AX122">
        <v>39617575</v>
      </c>
      <c r="AY122">
        <v>1</v>
      </c>
      <c r="AZ122">
        <v>0</v>
      </c>
      <c r="BA122">
        <v>117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Y122*Source!I108</f>
        <v>7.8000000000000014E-2</v>
      </c>
      <c r="CY122">
        <f>AB122</f>
        <v>740.25</v>
      </c>
      <c r="CZ122">
        <f>AF122</f>
        <v>111.99</v>
      </c>
      <c r="DA122">
        <f>AJ122</f>
        <v>6.61</v>
      </c>
      <c r="DB122">
        <v>0</v>
      </c>
    </row>
    <row r="123" spans="1:106" x14ac:dyDescent="0.2">
      <c r="A123">
        <f>ROW(Source!A108)</f>
        <v>108</v>
      </c>
      <c r="B123">
        <v>39616881</v>
      </c>
      <c r="C123">
        <v>39617572</v>
      </c>
      <c r="D123">
        <v>36883554</v>
      </c>
      <c r="E123">
        <v>1</v>
      </c>
      <c r="F123">
        <v>1</v>
      </c>
      <c r="G123">
        <v>1</v>
      </c>
      <c r="H123">
        <v>2</v>
      </c>
      <c r="I123" t="s">
        <v>468</v>
      </c>
      <c r="J123" t="s">
        <v>469</v>
      </c>
      <c r="K123" t="s">
        <v>470</v>
      </c>
      <c r="L123">
        <v>1368</v>
      </c>
      <c r="N123">
        <v>1011</v>
      </c>
      <c r="O123" t="s">
        <v>465</v>
      </c>
      <c r="P123" t="s">
        <v>465</v>
      </c>
      <c r="Q123">
        <v>1</v>
      </c>
      <c r="W123">
        <v>0</v>
      </c>
      <c r="X123">
        <v>1372534845</v>
      </c>
      <c r="Y123">
        <v>0.2</v>
      </c>
      <c r="AA123">
        <v>0</v>
      </c>
      <c r="AB123">
        <v>434.34</v>
      </c>
      <c r="AC123">
        <v>11.6</v>
      </c>
      <c r="AD123">
        <v>0</v>
      </c>
      <c r="AE123">
        <v>0</v>
      </c>
      <c r="AF123">
        <v>65.709999999999994</v>
      </c>
      <c r="AG123">
        <v>11.6</v>
      </c>
      <c r="AH123">
        <v>0</v>
      </c>
      <c r="AI123">
        <v>1</v>
      </c>
      <c r="AJ123">
        <v>6.61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0.2</v>
      </c>
      <c r="AU123" t="s">
        <v>3</v>
      </c>
      <c r="AV123">
        <v>0</v>
      </c>
      <c r="AW123">
        <v>2</v>
      </c>
      <c r="AX123">
        <v>39617576</v>
      </c>
      <c r="AY123">
        <v>1</v>
      </c>
      <c r="AZ123">
        <v>0</v>
      </c>
      <c r="BA123">
        <v>118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Y123*Source!I108</f>
        <v>7.8000000000000014E-2</v>
      </c>
      <c r="CY123">
        <f>AB123</f>
        <v>434.34</v>
      </c>
      <c r="CZ123">
        <f>AF123</f>
        <v>65.709999999999994</v>
      </c>
      <c r="DA123">
        <f>AJ123</f>
        <v>6.61</v>
      </c>
      <c r="DB123">
        <v>0</v>
      </c>
    </row>
    <row r="124" spans="1:106" x14ac:dyDescent="0.2">
      <c r="A124">
        <f>ROW(Source!A108)</f>
        <v>108</v>
      </c>
      <c r="B124">
        <v>39616881</v>
      </c>
      <c r="C124">
        <v>39617572</v>
      </c>
      <c r="D124">
        <v>36854531</v>
      </c>
      <c r="E124">
        <v>1</v>
      </c>
      <c r="F124">
        <v>1</v>
      </c>
      <c r="G124">
        <v>1</v>
      </c>
      <c r="H124">
        <v>3</v>
      </c>
      <c r="I124" t="s">
        <v>281</v>
      </c>
      <c r="J124" t="s">
        <v>283</v>
      </c>
      <c r="K124" t="s">
        <v>282</v>
      </c>
      <c r="L124">
        <v>1354</v>
      </c>
      <c r="N124">
        <v>1010</v>
      </c>
      <c r="O124" t="s">
        <v>50</v>
      </c>
      <c r="P124" t="s">
        <v>50</v>
      </c>
      <c r="Q124">
        <v>1</v>
      </c>
      <c r="W124">
        <v>0</v>
      </c>
      <c r="X124">
        <v>-547902896</v>
      </c>
      <c r="Y124">
        <v>100</v>
      </c>
      <c r="AA124">
        <v>2492.1</v>
      </c>
      <c r="AB124">
        <v>0</v>
      </c>
      <c r="AC124">
        <v>0</v>
      </c>
      <c r="AD124">
        <v>0</v>
      </c>
      <c r="AE124">
        <v>377.02</v>
      </c>
      <c r="AF124">
        <v>0</v>
      </c>
      <c r="AG124">
        <v>0</v>
      </c>
      <c r="AH124">
        <v>0</v>
      </c>
      <c r="AI124">
        <v>6.61</v>
      </c>
      <c r="AJ124">
        <v>1</v>
      </c>
      <c r="AK124">
        <v>1</v>
      </c>
      <c r="AL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3</v>
      </c>
      <c r="AT124">
        <v>100</v>
      </c>
      <c r="AU124" t="s">
        <v>3</v>
      </c>
      <c r="AV124">
        <v>0</v>
      </c>
      <c r="AW124">
        <v>1</v>
      </c>
      <c r="AX124">
        <v>-1</v>
      </c>
      <c r="AY124">
        <v>0</v>
      </c>
      <c r="AZ124">
        <v>0</v>
      </c>
      <c r="BA124" t="s">
        <v>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Y124*Source!I108</f>
        <v>39</v>
      </c>
      <c r="CY124">
        <f>AA124</f>
        <v>2492.1</v>
      </c>
      <c r="CZ124">
        <f>AE124</f>
        <v>377.02</v>
      </c>
      <c r="DA124">
        <f>AI124</f>
        <v>6.61</v>
      </c>
      <c r="DB124">
        <v>0</v>
      </c>
    </row>
    <row r="125" spans="1:106" x14ac:dyDescent="0.2">
      <c r="A125">
        <f>ROW(Source!A108)</f>
        <v>108</v>
      </c>
      <c r="B125">
        <v>39616881</v>
      </c>
      <c r="C125">
        <v>39617572</v>
      </c>
      <c r="D125">
        <v>36855778</v>
      </c>
      <c r="E125">
        <v>1</v>
      </c>
      <c r="F125">
        <v>1</v>
      </c>
      <c r="G125">
        <v>1</v>
      </c>
      <c r="H125">
        <v>3</v>
      </c>
      <c r="I125" t="s">
        <v>583</v>
      </c>
      <c r="J125" t="s">
        <v>584</v>
      </c>
      <c r="K125" t="s">
        <v>585</v>
      </c>
      <c r="L125">
        <v>1355</v>
      </c>
      <c r="N125">
        <v>1010</v>
      </c>
      <c r="O125" t="s">
        <v>90</v>
      </c>
      <c r="P125" t="s">
        <v>90</v>
      </c>
      <c r="Q125">
        <v>100</v>
      </c>
      <c r="W125">
        <v>0</v>
      </c>
      <c r="X125">
        <v>783817326</v>
      </c>
      <c r="Y125">
        <v>1.02</v>
      </c>
      <c r="AA125">
        <v>661</v>
      </c>
      <c r="AB125">
        <v>0</v>
      </c>
      <c r="AC125">
        <v>0</v>
      </c>
      <c r="AD125">
        <v>0</v>
      </c>
      <c r="AE125">
        <v>100</v>
      </c>
      <c r="AF125">
        <v>0</v>
      </c>
      <c r="AG125">
        <v>0</v>
      </c>
      <c r="AH125">
        <v>0</v>
      </c>
      <c r="AI125">
        <v>6.61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1.02</v>
      </c>
      <c r="AU125" t="s">
        <v>3</v>
      </c>
      <c r="AV125">
        <v>0</v>
      </c>
      <c r="AW125">
        <v>2</v>
      </c>
      <c r="AX125">
        <v>39617577</v>
      </c>
      <c r="AY125">
        <v>1</v>
      </c>
      <c r="AZ125">
        <v>0</v>
      </c>
      <c r="BA125">
        <v>119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Y125*Source!I108</f>
        <v>0.39780000000000004</v>
      </c>
      <c r="CY125">
        <f>AA125</f>
        <v>661</v>
      </c>
      <c r="CZ125">
        <f>AE125</f>
        <v>100</v>
      </c>
      <c r="DA125">
        <f>AI125</f>
        <v>6.61</v>
      </c>
      <c r="DB125">
        <v>0</v>
      </c>
    </row>
    <row r="126" spans="1:106" x14ac:dyDescent="0.2">
      <c r="A126">
        <f>ROW(Source!A108)</f>
        <v>108</v>
      </c>
      <c r="B126">
        <v>39616881</v>
      </c>
      <c r="C126">
        <v>39617572</v>
      </c>
      <c r="D126">
        <v>36799065</v>
      </c>
      <c r="E126">
        <v>17</v>
      </c>
      <c r="F126">
        <v>1</v>
      </c>
      <c r="G126">
        <v>1</v>
      </c>
      <c r="H126">
        <v>3</v>
      </c>
      <c r="I126" t="s">
        <v>578</v>
      </c>
      <c r="J126" t="s">
        <v>3</v>
      </c>
      <c r="K126" t="s">
        <v>579</v>
      </c>
      <c r="L126">
        <v>1374</v>
      </c>
      <c r="N126">
        <v>1013</v>
      </c>
      <c r="O126" t="s">
        <v>580</v>
      </c>
      <c r="P126" t="s">
        <v>580</v>
      </c>
      <c r="Q126">
        <v>1</v>
      </c>
      <c r="W126">
        <v>0</v>
      </c>
      <c r="X126">
        <v>-1731369543</v>
      </c>
      <c r="Y126">
        <v>18.73</v>
      </c>
      <c r="AA126">
        <v>1</v>
      </c>
      <c r="AB126">
        <v>0</v>
      </c>
      <c r="AC126">
        <v>0</v>
      </c>
      <c r="AD126">
        <v>0</v>
      </c>
      <c r="AE126">
        <v>1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18.73</v>
      </c>
      <c r="AU126" t="s">
        <v>3</v>
      </c>
      <c r="AV126">
        <v>0</v>
      </c>
      <c r="AW126">
        <v>2</v>
      </c>
      <c r="AX126">
        <v>39617578</v>
      </c>
      <c r="AY126">
        <v>1</v>
      </c>
      <c r="AZ126">
        <v>0</v>
      </c>
      <c r="BA126">
        <v>120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Y126*Source!I108</f>
        <v>7.3047000000000004</v>
      </c>
      <c r="CY126">
        <f>AA126</f>
        <v>1</v>
      </c>
      <c r="CZ126">
        <f>AE126</f>
        <v>1</v>
      </c>
      <c r="DA126">
        <f>AI126</f>
        <v>1</v>
      </c>
      <c r="DB126">
        <v>0</v>
      </c>
    </row>
    <row r="127" spans="1:106" x14ac:dyDescent="0.2">
      <c r="A127">
        <f>ROW(Source!A110)</f>
        <v>110</v>
      </c>
      <c r="B127">
        <v>39616881</v>
      </c>
      <c r="C127">
        <v>39617579</v>
      </c>
      <c r="D127">
        <v>37072767</v>
      </c>
      <c r="E127">
        <v>1</v>
      </c>
      <c r="F127">
        <v>1</v>
      </c>
      <c r="G127">
        <v>1</v>
      </c>
      <c r="H127">
        <v>1</v>
      </c>
      <c r="I127" t="s">
        <v>493</v>
      </c>
      <c r="J127" t="s">
        <v>3</v>
      </c>
      <c r="K127" t="s">
        <v>494</v>
      </c>
      <c r="L127">
        <v>1191</v>
      </c>
      <c r="N127">
        <v>1013</v>
      </c>
      <c r="O127" t="s">
        <v>459</v>
      </c>
      <c r="P127" t="s">
        <v>459</v>
      </c>
      <c r="Q127">
        <v>1</v>
      </c>
      <c r="W127">
        <v>0</v>
      </c>
      <c r="X127">
        <v>-1027537862</v>
      </c>
      <c r="Y127">
        <v>15.2</v>
      </c>
      <c r="AA127">
        <v>0</v>
      </c>
      <c r="AB127">
        <v>0</v>
      </c>
      <c r="AC127">
        <v>0</v>
      </c>
      <c r="AD127">
        <v>60.68</v>
      </c>
      <c r="AE127">
        <v>0</v>
      </c>
      <c r="AF127">
        <v>0</v>
      </c>
      <c r="AG127">
        <v>0</v>
      </c>
      <c r="AH127">
        <v>9.18</v>
      </c>
      <c r="AI127">
        <v>1</v>
      </c>
      <c r="AJ127">
        <v>1</v>
      </c>
      <c r="AK127">
        <v>1</v>
      </c>
      <c r="AL127">
        <v>6.61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15.2</v>
      </c>
      <c r="AU127" t="s">
        <v>3</v>
      </c>
      <c r="AV127">
        <v>1</v>
      </c>
      <c r="AW127">
        <v>2</v>
      </c>
      <c r="AX127">
        <v>39617580</v>
      </c>
      <c r="AY127">
        <v>1</v>
      </c>
      <c r="AZ127">
        <v>0</v>
      </c>
      <c r="BA127">
        <v>121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Y127*Source!I110</f>
        <v>8.8159999999999989</v>
      </c>
      <c r="CY127">
        <f>AD127</f>
        <v>60.68</v>
      </c>
      <c r="CZ127">
        <f>AH127</f>
        <v>9.18</v>
      </c>
      <c r="DA127">
        <f>AL127</f>
        <v>6.61</v>
      </c>
      <c r="DB127">
        <v>0</v>
      </c>
    </row>
    <row r="128" spans="1:106" x14ac:dyDescent="0.2">
      <c r="A128">
        <f>ROW(Source!A110)</f>
        <v>110</v>
      </c>
      <c r="B128">
        <v>39616881</v>
      </c>
      <c r="C128">
        <v>39617579</v>
      </c>
      <c r="D128">
        <v>36804661</v>
      </c>
      <c r="E128">
        <v>1</v>
      </c>
      <c r="F128">
        <v>1</v>
      </c>
      <c r="G128">
        <v>1</v>
      </c>
      <c r="H128">
        <v>3</v>
      </c>
      <c r="I128" t="s">
        <v>586</v>
      </c>
      <c r="J128" t="s">
        <v>587</v>
      </c>
      <c r="K128" t="s">
        <v>588</v>
      </c>
      <c r="L128">
        <v>1355</v>
      </c>
      <c r="N128">
        <v>1010</v>
      </c>
      <c r="O128" t="s">
        <v>90</v>
      </c>
      <c r="P128" t="s">
        <v>90</v>
      </c>
      <c r="Q128">
        <v>100</v>
      </c>
      <c r="W128">
        <v>0</v>
      </c>
      <c r="X128">
        <v>1135215184</v>
      </c>
      <c r="Y128">
        <v>1.75</v>
      </c>
      <c r="AA128">
        <v>52.88</v>
      </c>
      <c r="AB128">
        <v>0</v>
      </c>
      <c r="AC128">
        <v>0</v>
      </c>
      <c r="AD128">
        <v>0</v>
      </c>
      <c r="AE128">
        <v>8</v>
      </c>
      <c r="AF128">
        <v>0</v>
      </c>
      <c r="AG128">
        <v>0</v>
      </c>
      <c r="AH128">
        <v>0</v>
      </c>
      <c r="AI128">
        <v>6.61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1.75</v>
      </c>
      <c r="AU128" t="s">
        <v>3</v>
      </c>
      <c r="AV128">
        <v>0</v>
      </c>
      <c r="AW128">
        <v>2</v>
      </c>
      <c r="AX128">
        <v>39617581</v>
      </c>
      <c r="AY128">
        <v>1</v>
      </c>
      <c r="AZ128">
        <v>0</v>
      </c>
      <c r="BA128">
        <v>122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Y128*Source!I110</f>
        <v>1.0149999999999999</v>
      </c>
      <c r="CY128">
        <f>AA128</f>
        <v>52.88</v>
      </c>
      <c r="CZ128">
        <f>AE128</f>
        <v>8</v>
      </c>
      <c r="DA128">
        <f>AI128</f>
        <v>6.61</v>
      </c>
      <c r="DB128">
        <v>0</v>
      </c>
    </row>
    <row r="129" spans="1:106" x14ac:dyDescent="0.2">
      <c r="A129">
        <f>ROW(Source!A110)</f>
        <v>110</v>
      </c>
      <c r="B129">
        <v>39616881</v>
      </c>
      <c r="C129">
        <v>39617579</v>
      </c>
      <c r="D129">
        <v>36867816</v>
      </c>
      <c r="E129">
        <v>1</v>
      </c>
      <c r="F129">
        <v>1</v>
      </c>
      <c r="G129">
        <v>1</v>
      </c>
      <c r="H129">
        <v>3</v>
      </c>
      <c r="I129" t="s">
        <v>289</v>
      </c>
      <c r="J129" t="s">
        <v>292</v>
      </c>
      <c r="K129" t="s">
        <v>290</v>
      </c>
      <c r="L129">
        <v>1302</v>
      </c>
      <c r="N129">
        <v>1003</v>
      </c>
      <c r="O129" t="s">
        <v>291</v>
      </c>
      <c r="P129" t="s">
        <v>291</v>
      </c>
      <c r="Q129">
        <v>10</v>
      </c>
      <c r="W129">
        <v>0</v>
      </c>
      <c r="X129">
        <v>-595881781</v>
      </c>
      <c r="Y129">
        <v>10</v>
      </c>
      <c r="AA129">
        <v>140.13</v>
      </c>
      <c r="AB129">
        <v>0</v>
      </c>
      <c r="AC129">
        <v>0</v>
      </c>
      <c r="AD129">
        <v>0</v>
      </c>
      <c r="AE129">
        <v>21.2</v>
      </c>
      <c r="AF129">
        <v>0</v>
      </c>
      <c r="AG129">
        <v>0</v>
      </c>
      <c r="AH129">
        <v>0</v>
      </c>
      <c r="AI129">
        <v>6.61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3</v>
      </c>
      <c r="AT129">
        <v>10</v>
      </c>
      <c r="AU129" t="s">
        <v>3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Y129*Source!I110</f>
        <v>5.8</v>
      </c>
      <c r="CY129">
        <f>AA129</f>
        <v>140.13</v>
      </c>
      <c r="CZ129">
        <f>AE129</f>
        <v>21.2</v>
      </c>
      <c r="DA129">
        <f>AI129</f>
        <v>6.61</v>
      </c>
      <c r="DB129">
        <v>0</v>
      </c>
    </row>
    <row r="130" spans="1:106" x14ac:dyDescent="0.2">
      <c r="A130">
        <f>ROW(Source!A110)</f>
        <v>110</v>
      </c>
      <c r="B130">
        <v>39616881</v>
      </c>
      <c r="C130">
        <v>39617579</v>
      </c>
      <c r="D130">
        <v>36799065</v>
      </c>
      <c r="E130">
        <v>17</v>
      </c>
      <c r="F130">
        <v>1</v>
      </c>
      <c r="G130">
        <v>1</v>
      </c>
      <c r="H130">
        <v>3</v>
      </c>
      <c r="I130" t="s">
        <v>578</v>
      </c>
      <c r="J130" t="s">
        <v>3</v>
      </c>
      <c r="K130" t="s">
        <v>579</v>
      </c>
      <c r="L130">
        <v>1374</v>
      </c>
      <c r="N130">
        <v>1013</v>
      </c>
      <c r="O130" t="s">
        <v>580</v>
      </c>
      <c r="P130" t="s">
        <v>580</v>
      </c>
      <c r="Q130">
        <v>1</v>
      </c>
      <c r="W130">
        <v>0</v>
      </c>
      <c r="X130">
        <v>-1731369543</v>
      </c>
      <c r="Y130">
        <v>2.79</v>
      </c>
      <c r="AA130">
        <v>1</v>
      </c>
      <c r="AB130">
        <v>0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2.79</v>
      </c>
      <c r="AU130" t="s">
        <v>3</v>
      </c>
      <c r="AV130">
        <v>0</v>
      </c>
      <c r="AW130">
        <v>2</v>
      </c>
      <c r="AX130">
        <v>39617582</v>
      </c>
      <c r="AY130">
        <v>1</v>
      </c>
      <c r="AZ130">
        <v>0</v>
      </c>
      <c r="BA130">
        <v>123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Y130*Source!I110</f>
        <v>1.6181999999999999</v>
      </c>
      <c r="CY130">
        <f>AA130</f>
        <v>1</v>
      </c>
      <c r="CZ130">
        <f>AE130</f>
        <v>1</v>
      </c>
      <c r="DA130">
        <f>AI130</f>
        <v>1</v>
      </c>
      <c r="DB130">
        <v>0</v>
      </c>
    </row>
    <row r="131" spans="1:106" x14ac:dyDescent="0.2">
      <c r="A131">
        <f>ROW(Source!A112)</f>
        <v>112</v>
      </c>
      <c r="B131">
        <v>39616881</v>
      </c>
      <c r="C131">
        <v>39617583</v>
      </c>
      <c r="D131">
        <v>37064878</v>
      </c>
      <c r="E131">
        <v>1</v>
      </c>
      <c r="F131">
        <v>1</v>
      </c>
      <c r="G131">
        <v>1</v>
      </c>
      <c r="H131">
        <v>1</v>
      </c>
      <c r="I131" t="s">
        <v>466</v>
      </c>
      <c r="J131" t="s">
        <v>3</v>
      </c>
      <c r="K131" t="s">
        <v>467</v>
      </c>
      <c r="L131">
        <v>1191</v>
      </c>
      <c r="N131">
        <v>1013</v>
      </c>
      <c r="O131" t="s">
        <v>459</v>
      </c>
      <c r="P131" t="s">
        <v>459</v>
      </c>
      <c r="Q131">
        <v>1</v>
      </c>
      <c r="W131">
        <v>0</v>
      </c>
      <c r="X131">
        <v>-1081351934</v>
      </c>
      <c r="Y131">
        <v>5.39</v>
      </c>
      <c r="AA131">
        <v>0</v>
      </c>
      <c r="AB131">
        <v>0</v>
      </c>
      <c r="AC131">
        <v>0</v>
      </c>
      <c r="AD131">
        <v>62.13</v>
      </c>
      <c r="AE131">
        <v>0</v>
      </c>
      <c r="AF131">
        <v>0</v>
      </c>
      <c r="AG131">
        <v>0</v>
      </c>
      <c r="AH131">
        <v>9.4</v>
      </c>
      <c r="AI131">
        <v>1</v>
      </c>
      <c r="AJ131">
        <v>1</v>
      </c>
      <c r="AK131">
        <v>1</v>
      </c>
      <c r="AL131">
        <v>6.61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5.39</v>
      </c>
      <c r="AU131" t="s">
        <v>3</v>
      </c>
      <c r="AV131">
        <v>1</v>
      </c>
      <c r="AW131">
        <v>2</v>
      </c>
      <c r="AX131">
        <v>39617584</v>
      </c>
      <c r="AY131">
        <v>1</v>
      </c>
      <c r="AZ131">
        <v>0</v>
      </c>
      <c r="BA131">
        <v>124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Y131*Source!I112</f>
        <v>3.8807999999999998</v>
      </c>
      <c r="CY131">
        <f>AD131</f>
        <v>62.13</v>
      </c>
      <c r="CZ131">
        <f>AH131</f>
        <v>9.4</v>
      </c>
      <c r="DA131">
        <f>AL131</f>
        <v>6.61</v>
      </c>
      <c r="DB131">
        <v>0</v>
      </c>
    </row>
    <row r="132" spans="1:106" x14ac:dyDescent="0.2">
      <c r="A132">
        <f>ROW(Source!A112)</f>
        <v>112</v>
      </c>
      <c r="B132">
        <v>39616881</v>
      </c>
      <c r="C132">
        <v>39617583</v>
      </c>
      <c r="D132">
        <v>37064876</v>
      </c>
      <c r="E132">
        <v>1</v>
      </c>
      <c r="F132">
        <v>1</v>
      </c>
      <c r="G132">
        <v>1</v>
      </c>
      <c r="H132">
        <v>1</v>
      </c>
      <c r="I132" t="s">
        <v>460</v>
      </c>
      <c r="J132" t="s">
        <v>3</v>
      </c>
      <c r="K132" t="s">
        <v>461</v>
      </c>
      <c r="L132">
        <v>1191</v>
      </c>
      <c r="N132">
        <v>1013</v>
      </c>
      <c r="O132" t="s">
        <v>459</v>
      </c>
      <c r="P132" t="s">
        <v>459</v>
      </c>
      <c r="Q132">
        <v>1</v>
      </c>
      <c r="W132">
        <v>0</v>
      </c>
      <c r="X132">
        <v>-1417349443</v>
      </c>
      <c r="Y132">
        <v>0.04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6.61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0.04</v>
      </c>
      <c r="AU132" t="s">
        <v>3</v>
      </c>
      <c r="AV132">
        <v>2</v>
      </c>
      <c r="AW132">
        <v>2</v>
      </c>
      <c r="AX132">
        <v>39617585</v>
      </c>
      <c r="AY132">
        <v>1</v>
      </c>
      <c r="AZ132">
        <v>0</v>
      </c>
      <c r="BA132">
        <v>125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Y132*Source!I112</f>
        <v>2.8799999999999999E-2</v>
      </c>
      <c r="CY132">
        <f>AD132</f>
        <v>0</v>
      </c>
      <c r="CZ132">
        <f>AH132</f>
        <v>0</v>
      </c>
      <c r="DA132">
        <f>AL132</f>
        <v>1</v>
      </c>
      <c r="DB132">
        <v>0</v>
      </c>
    </row>
    <row r="133" spans="1:106" x14ac:dyDescent="0.2">
      <c r="A133">
        <f>ROW(Source!A112)</f>
        <v>112</v>
      </c>
      <c r="B133">
        <v>39616881</v>
      </c>
      <c r="C133">
        <v>39617583</v>
      </c>
      <c r="D133">
        <v>36882159</v>
      </c>
      <c r="E133">
        <v>1</v>
      </c>
      <c r="F133">
        <v>1</v>
      </c>
      <c r="G133">
        <v>1</v>
      </c>
      <c r="H133">
        <v>2</v>
      </c>
      <c r="I133" t="s">
        <v>566</v>
      </c>
      <c r="J133" t="s">
        <v>567</v>
      </c>
      <c r="K133" t="s">
        <v>568</v>
      </c>
      <c r="L133">
        <v>1368</v>
      </c>
      <c r="N133">
        <v>1011</v>
      </c>
      <c r="O133" t="s">
        <v>465</v>
      </c>
      <c r="P133" t="s">
        <v>465</v>
      </c>
      <c r="Q133">
        <v>1</v>
      </c>
      <c r="W133">
        <v>0</v>
      </c>
      <c r="X133">
        <v>-1718674368</v>
      </c>
      <c r="Y133">
        <v>0.02</v>
      </c>
      <c r="AA133">
        <v>0</v>
      </c>
      <c r="AB133">
        <v>740.25</v>
      </c>
      <c r="AC133">
        <v>13.5</v>
      </c>
      <c r="AD133">
        <v>0</v>
      </c>
      <c r="AE133">
        <v>0</v>
      </c>
      <c r="AF133">
        <v>111.99</v>
      </c>
      <c r="AG133">
        <v>13.5</v>
      </c>
      <c r="AH133">
        <v>0</v>
      </c>
      <c r="AI133">
        <v>1</v>
      </c>
      <c r="AJ133">
        <v>6.61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0.02</v>
      </c>
      <c r="AU133" t="s">
        <v>3</v>
      </c>
      <c r="AV133">
        <v>0</v>
      </c>
      <c r="AW133">
        <v>2</v>
      </c>
      <c r="AX133">
        <v>39617586</v>
      </c>
      <c r="AY133">
        <v>1</v>
      </c>
      <c r="AZ133">
        <v>0</v>
      </c>
      <c r="BA133">
        <v>126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Y133*Source!I112</f>
        <v>1.44E-2</v>
      </c>
      <c r="CY133">
        <f>AB133</f>
        <v>740.25</v>
      </c>
      <c r="CZ133">
        <f>AF133</f>
        <v>111.99</v>
      </c>
      <c r="DA133">
        <f>AJ133</f>
        <v>6.61</v>
      </c>
      <c r="DB133">
        <v>0</v>
      </c>
    </row>
    <row r="134" spans="1:106" x14ac:dyDescent="0.2">
      <c r="A134">
        <f>ROW(Source!A112)</f>
        <v>112</v>
      </c>
      <c r="B134">
        <v>39616881</v>
      </c>
      <c r="C134">
        <v>39617583</v>
      </c>
      <c r="D134">
        <v>36883554</v>
      </c>
      <c r="E134">
        <v>1</v>
      </c>
      <c r="F134">
        <v>1</v>
      </c>
      <c r="G134">
        <v>1</v>
      </c>
      <c r="H134">
        <v>2</v>
      </c>
      <c r="I134" t="s">
        <v>468</v>
      </c>
      <c r="J134" t="s">
        <v>469</v>
      </c>
      <c r="K134" t="s">
        <v>470</v>
      </c>
      <c r="L134">
        <v>1368</v>
      </c>
      <c r="N134">
        <v>1011</v>
      </c>
      <c r="O134" t="s">
        <v>465</v>
      </c>
      <c r="P134" t="s">
        <v>465</v>
      </c>
      <c r="Q134">
        <v>1</v>
      </c>
      <c r="W134">
        <v>0</v>
      </c>
      <c r="X134">
        <v>1372534845</v>
      </c>
      <c r="Y134">
        <v>0.02</v>
      </c>
      <c r="AA134">
        <v>0</v>
      </c>
      <c r="AB134">
        <v>434.34</v>
      </c>
      <c r="AC134">
        <v>11.6</v>
      </c>
      <c r="AD134">
        <v>0</v>
      </c>
      <c r="AE134">
        <v>0</v>
      </c>
      <c r="AF134">
        <v>65.709999999999994</v>
      </c>
      <c r="AG134">
        <v>11.6</v>
      </c>
      <c r="AH134">
        <v>0</v>
      </c>
      <c r="AI134">
        <v>1</v>
      </c>
      <c r="AJ134">
        <v>6.61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0.02</v>
      </c>
      <c r="AU134" t="s">
        <v>3</v>
      </c>
      <c r="AV134">
        <v>0</v>
      </c>
      <c r="AW134">
        <v>2</v>
      </c>
      <c r="AX134">
        <v>39617587</v>
      </c>
      <c r="AY134">
        <v>1</v>
      </c>
      <c r="AZ134">
        <v>0</v>
      </c>
      <c r="BA134">
        <v>127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Y134*Source!I112</f>
        <v>1.44E-2</v>
      </c>
      <c r="CY134">
        <f>AB134</f>
        <v>434.34</v>
      </c>
      <c r="CZ134">
        <f>AF134</f>
        <v>65.709999999999994</v>
      </c>
      <c r="DA134">
        <f>AJ134</f>
        <v>6.61</v>
      </c>
      <c r="DB134">
        <v>0</v>
      </c>
    </row>
    <row r="135" spans="1:106" x14ac:dyDescent="0.2">
      <c r="A135">
        <f>ROW(Source!A112)</f>
        <v>112</v>
      </c>
      <c r="B135">
        <v>39616881</v>
      </c>
      <c r="C135">
        <v>39617583</v>
      </c>
      <c r="D135">
        <v>36802094</v>
      </c>
      <c r="E135">
        <v>1</v>
      </c>
      <c r="F135">
        <v>1</v>
      </c>
      <c r="G135">
        <v>1</v>
      </c>
      <c r="H135">
        <v>3</v>
      </c>
      <c r="I135" t="s">
        <v>569</v>
      </c>
      <c r="J135" t="s">
        <v>570</v>
      </c>
      <c r="K135" t="s">
        <v>571</v>
      </c>
      <c r="L135">
        <v>1346</v>
      </c>
      <c r="N135">
        <v>1009</v>
      </c>
      <c r="O135" t="s">
        <v>77</v>
      </c>
      <c r="P135" t="s">
        <v>77</v>
      </c>
      <c r="Q135">
        <v>1</v>
      </c>
      <c r="W135">
        <v>0</v>
      </c>
      <c r="X135">
        <v>-1088866022</v>
      </c>
      <c r="Y135">
        <v>0.16</v>
      </c>
      <c r="AA135">
        <v>200.94</v>
      </c>
      <c r="AB135">
        <v>0</v>
      </c>
      <c r="AC135">
        <v>0</v>
      </c>
      <c r="AD135">
        <v>0</v>
      </c>
      <c r="AE135">
        <v>30.4</v>
      </c>
      <c r="AF135">
        <v>0</v>
      </c>
      <c r="AG135">
        <v>0</v>
      </c>
      <c r="AH135">
        <v>0</v>
      </c>
      <c r="AI135">
        <v>6.61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0.16</v>
      </c>
      <c r="AU135" t="s">
        <v>3</v>
      </c>
      <c r="AV135">
        <v>0</v>
      </c>
      <c r="AW135">
        <v>2</v>
      </c>
      <c r="AX135">
        <v>39617588</v>
      </c>
      <c r="AY135">
        <v>1</v>
      </c>
      <c r="AZ135">
        <v>0</v>
      </c>
      <c r="BA135">
        <v>128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Y135*Source!I112</f>
        <v>0.1152</v>
      </c>
      <c r="CY135">
        <f t="shared" ref="CY135:CY141" si="9">AA135</f>
        <v>200.94</v>
      </c>
      <c r="CZ135">
        <f t="shared" ref="CZ135:CZ141" si="10">AE135</f>
        <v>30.4</v>
      </c>
      <c r="DA135">
        <f t="shared" ref="DA135:DA141" si="11">AI135</f>
        <v>6.61</v>
      </c>
      <c r="DB135">
        <v>0</v>
      </c>
    </row>
    <row r="136" spans="1:106" x14ac:dyDescent="0.2">
      <c r="A136">
        <f>ROW(Source!A112)</f>
        <v>112</v>
      </c>
      <c r="B136">
        <v>39616881</v>
      </c>
      <c r="C136">
        <v>39617583</v>
      </c>
      <c r="D136">
        <v>36802373</v>
      </c>
      <c r="E136">
        <v>1</v>
      </c>
      <c r="F136">
        <v>1</v>
      </c>
      <c r="G136">
        <v>1</v>
      </c>
      <c r="H136">
        <v>3</v>
      </c>
      <c r="I136" t="s">
        <v>589</v>
      </c>
      <c r="J136" t="s">
        <v>590</v>
      </c>
      <c r="K136" t="s">
        <v>591</v>
      </c>
      <c r="L136">
        <v>1348</v>
      </c>
      <c r="N136">
        <v>1009</v>
      </c>
      <c r="O136" t="s">
        <v>72</v>
      </c>
      <c r="P136" t="s">
        <v>72</v>
      </c>
      <c r="Q136">
        <v>1000</v>
      </c>
      <c r="W136">
        <v>0</v>
      </c>
      <c r="X136">
        <v>1012095217</v>
      </c>
      <c r="Y136">
        <v>5.9999999999999995E-4</v>
      </c>
      <c r="AA136">
        <v>12030.2</v>
      </c>
      <c r="AB136">
        <v>0</v>
      </c>
      <c r="AC136">
        <v>0</v>
      </c>
      <c r="AD136">
        <v>0</v>
      </c>
      <c r="AE136">
        <v>1820</v>
      </c>
      <c r="AF136">
        <v>0</v>
      </c>
      <c r="AG136">
        <v>0</v>
      </c>
      <c r="AH136">
        <v>0</v>
      </c>
      <c r="AI136">
        <v>6.61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5.9999999999999995E-4</v>
      </c>
      <c r="AU136" t="s">
        <v>3</v>
      </c>
      <c r="AV136">
        <v>0</v>
      </c>
      <c r="AW136">
        <v>2</v>
      </c>
      <c r="AX136">
        <v>39617589</v>
      </c>
      <c r="AY136">
        <v>1</v>
      </c>
      <c r="AZ136">
        <v>0</v>
      </c>
      <c r="BA136">
        <v>129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Y136*Source!I112</f>
        <v>4.3199999999999993E-4</v>
      </c>
      <c r="CY136">
        <f t="shared" si="9"/>
        <v>12030.2</v>
      </c>
      <c r="CZ136">
        <f t="shared" si="10"/>
        <v>1820</v>
      </c>
      <c r="DA136">
        <f t="shared" si="11"/>
        <v>6.61</v>
      </c>
      <c r="DB136">
        <v>0</v>
      </c>
    </row>
    <row r="137" spans="1:106" x14ac:dyDescent="0.2">
      <c r="A137">
        <f>ROW(Source!A112)</f>
        <v>112</v>
      </c>
      <c r="B137">
        <v>39616881</v>
      </c>
      <c r="C137">
        <v>39617583</v>
      </c>
      <c r="D137">
        <v>36838317</v>
      </c>
      <c r="E137">
        <v>1</v>
      </c>
      <c r="F137">
        <v>1</v>
      </c>
      <c r="G137">
        <v>1</v>
      </c>
      <c r="H137">
        <v>3</v>
      </c>
      <c r="I137" t="s">
        <v>592</v>
      </c>
      <c r="J137" t="s">
        <v>593</v>
      </c>
      <c r="K137" t="s">
        <v>191</v>
      </c>
      <c r="L137">
        <v>1346</v>
      </c>
      <c r="N137">
        <v>1009</v>
      </c>
      <c r="O137" t="s">
        <v>77</v>
      </c>
      <c r="P137" t="s">
        <v>77</v>
      </c>
      <c r="Q137">
        <v>1</v>
      </c>
      <c r="W137">
        <v>0</v>
      </c>
      <c r="X137">
        <v>210558753</v>
      </c>
      <c r="Y137">
        <v>0.02</v>
      </c>
      <c r="AA137">
        <v>189.05</v>
      </c>
      <c r="AB137">
        <v>0</v>
      </c>
      <c r="AC137">
        <v>0</v>
      </c>
      <c r="AD137">
        <v>0</v>
      </c>
      <c r="AE137">
        <v>28.6</v>
      </c>
      <c r="AF137">
        <v>0</v>
      </c>
      <c r="AG137">
        <v>0</v>
      </c>
      <c r="AH137">
        <v>0</v>
      </c>
      <c r="AI137">
        <v>6.61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0.02</v>
      </c>
      <c r="AU137" t="s">
        <v>3</v>
      </c>
      <c r="AV137">
        <v>0</v>
      </c>
      <c r="AW137">
        <v>2</v>
      </c>
      <c r="AX137">
        <v>39617590</v>
      </c>
      <c r="AY137">
        <v>1</v>
      </c>
      <c r="AZ137">
        <v>0</v>
      </c>
      <c r="BA137">
        <v>130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Y137*Source!I112</f>
        <v>1.44E-2</v>
      </c>
      <c r="CY137">
        <f t="shared" si="9"/>
        <v>189.05</v>
      </c>
      <c r="CZ137">
        <f t="shared" si="10"/>
        <v>28.6</v>
      </c>
      <c r="DA137">
        <f t="shared" si="11"/>
        <v>6.61</v>
      </c>
      <c r="DB137">
        <v>0</v>
      </c>
    </row>
    <row r="138" spans="1:106" x14ac:dyDescent="0.2">
      <c r="A138">
        <f>ROW(Source!A112)</f>
        <v>112</v>
      </c>
      <c r="B138">
        <v>39616881</v>
      </c>
      <c r="C138">
        <v>39617583</v>
      </c>
      <c r="D138">
        <v>36852009</v>
      </c>
      <c r="E138">
        <v>1</v>
      </c>
      <c r="F138">
        <v>1</v>
      </c>
      <c r="G138">
        <v>1</v>
      </c>
      <c r="H138">
        <v>3</v>
      </c>
      <c r="I138" t="s">
        <v>594</v>
      </c>
      <c r="J138" t="s">
        <v>595</v>
      </c>
      <c r="K138" t="s">
        <v>596</v>
      </c>
      <c r="L138">
        <v>1355</v>
      </c>
      <c r="N138">
        <v>1010</v>
      </c>
      <c r="O138" t="s">
        <v>90</v>
      </c>
      <c r="P138" t="s">
        <v>90</v>
      </c>
      <c r="Q138">
        <v>100</v>
      </c>
      <c r="W138">
        <v>0</v>
      </c>
      <c r="X138">
        <v>-423136440</v>
      </c>
      <c r="Y138">
        <v>0.05</v>
      </c>
      <c r="AA138">
        <v>727.1</v>
      </c>
      <c r="AB138">
        <v>0</v>
      </c>
      <c r="AC138">
        <v>0</v>
      </c>
      <c r="AD138">
        <v>0</v>
      </c>
      <c r="AE138">
        <v>110</v>
      </c>
      <c r="AF138">
        <v>0</v>
      </c>
      <c r="AG138">
        <v>0</v>
      </c>
      <c r="AH138">
        <v>0</v>
      </c>
      <c r="AI138">
        <v>6.61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0.05</v>
      </c>
      <c r="AU138" t="s">
        <v>3</v>
      </c>
      <c r="AV138">
        <v>0</v>
      </c>
      <c r="AW138">
        <v>2</v>
      </c>
      <c r="AX138">
        <v>39617591</v>
      </c>
      <c r="AY138">
        <v>1</v>
      </c>
      <c r="AZ138">
        <v>0</v>
      </c>
      <c r="BA138">
        <v>131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Y138*Source!I112</f>
        <v>3.5999999999999997E-2</v>
      </c>
      <c r="CY138">
        <f t="shared" si="9"/>
        <v>727.1</v>
      </c>
      <c r="CZ138">
        <f t="shared" si="10"/>
        <v>110</v>
      </c>
      <c r="DA138">
        <f t="shared" si="11"/>
        <v>6.61</v>
      </c>
      <c r="DB138">
        <v>0</v>
      </c>
    </row>
    <row r="139" spans="1:106" x14ac:dyDescent="0.2">
      <c r="A139">
        <f>ROW(Source!A112)</f>
        <v>112</v>
      </c>
      <c r="B139">
        <v>39616881</v>
      </c>
      <c r="C139">
        <v>39617583</v>
      </c>
      <c r="D139">
        <v>36852060</v>
      </c>
      <c r="E139">
        <v>1</v>
      </c>
      <c r="F139">
        <v>1</v>
      </c>
      <c r="G139">
        <v>1</v>
      </c>
      <c r="H139">
        <v>3</v>
      </c>
      <c r="I139" t="s">
        <v>597</v>
      </c>
      <c r="J139" t="s">
        <v>598</v>
      </c>
      <c r="K139" t="s">
        <v>599</v>
      </c>
      <c r="L139">
        <v>1356</v>
      </c>
      <c r="N139">
        <v>1010</v>
      </c>
      <c r="O139" t="s">
        <v>501</v>
      </c>
      <c r="P139" t="s">
        <v>501</v>
      </c>
      <c r="Q139">
        <v>1000</v>
      </c>
      <c r="W139">
        <v>0</v>
      </c>
      <c r="X139">
        <v>537827188</v>
      </c>
      <c r="Y139">
        <v>1.2200000000000001E-2</v>
      </c>
      <c r="AA139">
        <v>786.59</v>
      </c>
      <c r="AB139">
        <v>0</v>
      </c>
      <c r="AC139">
        <v>0</v>
      </c>
      <c r="AD139">
        <v>0</v>
      </c>
      <c r="AE139">
        <v>119</v>
      </c>
      <c r="AF139">
        <v>0</v>
      </c>
      <c r="AG139">
        <v>0</v>
      </c>
      <c r="AH139">
        <v>0</v>
      </c>
      <c r="AI139">
        <v>6.61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1.2200000000000001E-2</v>
      </c>
      <c r="AU139" t="s">
        <v>3</v>
      </c>
      <c r="AV139">
        <v>0</v>
      </c>
      <c r="AW139">
        <v>2</v>
      </c>
      <c r="AX139">
        <v>39617592</v>
      </c>
      <c r="AY139">
        <v>1</v>
      </c>
      <c r="AZ139">
        <v>0</v>
      </c>
      <c r="BA139">
        <v>132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Y139*Source!I112</f>
        <v>8.7840000000000001E-3</v>
      </c>
      <c r="CY139">
        <f t="shared" si="9"/>
        <v>786.59</v>
      </c>
      <c r="CZ139">
        <f t="shared" si="10"/>
        <v>119</v>
      </c>
      <c r="DA139">
        <f t="shared" si="11"/>
        <v>6.61</v>
      </c>
      <c r="DB139">
        <v>0</v>
      </c>
    </row>
    <row r="140" spans="1:106" x14ac:dyDescent="0.2">
      <c r="A140">
        <f>ROW(Source!A112)</f>
        <v>112</v>
      </c>
      <c r="B140">
        <v>39616881</v>
      </c>
      <c r="C140">
        <v>39617583</v>
      </c>
      <c r="D140">
        <v>36857510</v>
      </c>
      <c r="E140">
        <v>1</v>
      </c>
      <c r="F140">
        <v>1</v>
      </c>
      <c r="G140">
        <v>1</v>
      </c>
      <c r="H140">
        <v>3</v>
      </c>
      <c r="I140" t="s">
        <v>298</v>
      </c>
      <c r="J140" t="s">
        <v>301</v>
      </c>
      <c r="K140" t="s">
        <v>299</v>
      </c>
      <c r="L140">
        <v>1477</v>
      </c>
      <c r="N140">
        <v>1013</v>
      </c>
      <c r="O140" t="s">
        <v>300</v>
      </c>
      <c r="P140" t="s">
        <v>302</v>
      </c>
      <c r="Q140">
        <v>1</v>
      </c>
      <c r="W140">
        <v>0</v>
      </c>
      <c r="X140">
        <v>-1479501953</v>
      </c>
      <c r="Y140">
        <v>0.1</v>
      </c>
      <c r="AA140">
        <v>31940.31</v>
      </c>
      <c r="AB140">
        <v>0</v>
      </c>
      <c r="AC140">
        <v>0</v>
      </c>
      <c r="AD140">
        <v>0</v>
      </c>
      <c r="AE140">
        <v>4832.12</v>
      </c>
      <c r="AF140">
        <v>0</v>
      </c>
      <c r="AG140">
        <v>0</v>
      </c>
      <c r="AH140">
        <v>0</v>
      </c>
      <c r="AI140">
        <v>6.61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3</v>
      </c>
      <c r="AT140">
        <v>0.1</v>
      </c>
      <c r="AU140" t="s">
        <v>3</v>
      </c>
      <c r="AV140">
        <v>0</v>
      </c>
      <c r="AW140">
        <v>1</v>
      </c>
      <c r="AX140">
        <v>-1</v>
      </c>
      <c r="AY140">
        <v>0</v>
      </c>
      <c r="AZ140">
        <v>0</v>
      </c>
      <c r="BA140" t="s">
        <v>3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Y140*Source!I112</f>
        <v>7.1999999999999995E-2</v>
      </c>
      <c r="CY140">
        <f t="shared" si="9"/>
        <v>31940.31</v>
      </c>
      <c r="CZ140">
        <f t="shared" si="10"/>
        <v>4832.12</v>
      </c>
      <c r="DA140">
        <f t="shared" si="11"/>
        <v>6.61</v>
      </c>
      <c r="DB140">
        <v>0</v>
      </c>
    </row>
    <row r="141" spans="1:106" x14ac:dyDescent="0.2">
      <c r="A141">
        <f>ROW(Source!A112)</f>
        <v>112</v>
      </c>
      <c r="B141">
        <v>39616881</v>
      </c>
      <c r="C141">
        <v>39617583</v>
      </c>
      <c r="D141">
        <v>36799065</v>
      </c>
      <c r="E141">
        <v>17</v>
      </c>
      <c r="F141">
        <v>1</v>
      </c>
      <c r="G141">
        <v>1</v>
      </c>
      <c r="H141">
        <v>3</v>
      </c>
      <c r="I141" t="s">
        <v>578</v>
      </c>
      <c r="J141" t="s">
        <v>3</v>
      </c>
      <c r="K141" t="s">
        <v>579</v>
      </c>
      <c r="L141">
        <v>1374</v>
      </c>
      <c r="N141">
        <v>1013</v>
      </c>
      <c r="O141" t="s">
        <v>580</v>
      </c>
      <c r="P141" t="s">
        <v>580</v>
      </c>
      <c r="Q141">
        <v>1</v>
      </c>
      <c r="W141">
        <v>0</v>
      </c>
      <c r="X141">
        <v>-1731369543</v>
      </c>
      <c r="Y141">
        <v>1.01</v>
      </c>
      <c r="AA141">
        <v>1</v>
      </c>
      <c r="AB141">
        <v>0</v>
      </c>
      <c r="AC141">
        <v>0</v>
      </c>
      <c r="AD141">
        <v>0</v>
      </c>
      <c r="AE141">
        <v>1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1.01</v>
      </c>
      <c r="AU141" t="s">
        <v>3</v>
      </c>
      <c r="AV141">
        <v>0</v>
      </c>
      <c r="AW141">
        <v>2</v>
      </c>
      <c r="AX141">
        <v>39617593</v>
      </c>
      <c r="AY141">
        <v>1</v>
      </c>
      <c r="AZ141">
        <v>0</v>
      </c>
      <c r="BA141">
        <v>133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Y141*Source!I112</f>
        <v>0.72719999999999996</v>
      </c>
      <c r="CY141">
        <f t="shared" si="9"/>
        <v>1</v>
      </c>
      <c r="CZ141">
        <f t="shared" si="10"/>
        <v>1</v>
      </c>
      <c r="DA141">
        <f t="shared" si="11"/>
        <v>1</v>
      </c>
      <c r="DB141">
        <v>0</v>
      </c>
    </row>
    <row r="142" spans="1:106" x14ac:dyDescent="0.2">
      <c r="A142">
        <f>ROW(Source!A114)</f>
        <v>114</v>
      </c>
      <c r="B142">
        <v>39616881</v>
      </c>
      <c r="C142">
        <v>39617594</v>
      </c>
      <c r="D142">
        <v>37070202</v>
      </c>
      <c r="E142">
        <v>1</v>
      </c>
      <c r="F142">
        <v>1</v>
      </c>
      <c r="G142">
        <v>1</v>
      </c>
      <c r="H142">
        <v>1</v>
      </c>
      <c r="I142" t="s">
        <v>600</v>
      </c>
      <c r="J142" t="s">
        <v>3</v>
      </c>
      <c r="K142" t="s">
        <v>601</v>
      </c>
      <c r="L142">
        <v>1191</v>
      </c>
      <c r="N142">
        <v>1013</v>
      </c>
      <c r="O142" t="s">
        <v>459</v>
      </c>
      <c r="P142" t="s">
        <v>459</v>
      </c>
      <c r="Q142">
        <v>1</v>
      </c>
      <c r="W142">
        <v>0</v>
      </c>
      <c r="X142">
        <v>1983201532</v>
      </c>
      <c r="Y142">
        <v>16.29</v>
      </c>
      <c r="AA142">
        <v>0</v>
      </c>
      <c r="AB142">
        <v>0</v>
      </c>
      <c r="AC142">
        <v>0</v>
      </c>
      <c r="AD142">
        <v>62.86</v>
      </c>
      <c r="AE142">
        <v>0</v>
      </c>
      <c r="AF142">
        <v>0</v>
      </c>
      <c r="AG142">
        <v>0</v>
      </c>
      <c r="AH142">
        <v>9.51</v>
      </c>
      <c r="AI142">
        <v>1</v>
      </c>
      <c r="AJ142">
        <v>1</v>
      </c>
      <c r="AK142">
        <v>1</v>
      </c>
      <c r="AL142">
        <v>6.61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16.29</v>
      </c>
      <c r="AU142" t="s">
        <v>3</v>
      </c>
      <c r="AV142">
        <v>1</v>
      </c>
      <c r="AW142">
        <v>2</v>
      </c>
      <c r="AX142">
        <v>39617595</v>
      </c>
      <c r="AY142">
        <v>1</v>
      </c>
      <c r="AZ142">
        <v>0</v>
      </c>
      <c r="BA142">
        <v>134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Y142*Source!I114</f>
        <v>6.8417999999999992</v>
      </c>
      <c r="CY142">
        <f>AD142</f>
        <v>62.86</v>
      </c>
      <c r="CZ142">
        <f>AH142</f>
        <v>9.51</v>
      </c>
      <c r="DA142">
        <f>AL142</f>
        <v>6.61</v>
      </c>
      <c r="DB142">
        <v>0</v>
      </c>
    </row>
    <row r="143" spans="1:106" x14ac:dyDescent="0.2">
      <c r="A143">
        <f>ROW(Source!A114)</f>
        <v>114</v>
      </c>
      <c r="B143">
        <v>39616881</v>
      </c>
      <c r="C143">
        <v>39617594</v>
      </c>
      <c r="D143">
        <v>37064876</v>
      </c>
      <c r="E143">
        <v>1</v>
      </c>
      <c r="F143">
        <v>1</v>
      </c>
      <c r="G143">
        <v>1</v>
      </c>
      <c r="H143">
        <v>1</v>
      </c>
      <c r="I143" t="s">
        <v>460</v>
      </c>
      <c r="J143" t="s">
        <v>3</v>
      </c>
      <c r="K143" t="s">
        <v>461</v>
      </c>
      <c r="L143">
        <v>1191</v>
      </c>
      <c r="N143">
        <v>1013</v>
      </c>
      <c r="O143" t="s">
        <v>459</v>
      </c>
      <c r="P143" t="s">
        <v>459</v>
      </c>
      <c r="Q143">
        <v>1</v>
      </c>
      <c r="W143">
        <v>0</v>
      </c>
      <c r="X143">
        <v>-1417349443</v>
      </c>
      <c r="Y143">
        <v>0.01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6.61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0.01</v>
      </c>
      <c r="AU143" t="s">
        <v>3</v>
      </c>
      <c r="AV143">
        <v>2</v>
      </c>
      <c r="AW143">
        <v>2</v>
      </c>
      <c r="AX143">
        <v>39617596</v>
      </c>
      <c r="AY143">
        <v>1</v>
      </c>
      <c r="AZ143">
        <v>0</v>
      </c>
      <c r="BA143">
        <v>135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Y143*Source!I114</f>
        <v>4.1999999999999997E-3</v>
      </c>
      <c r="CY143">
        <f>AD143</f>
        <v>0</v>
      </c>
      <c r="CZ143">
        <f>AH143</f>
        <v>0</v>
      </c>
      <c r="DA143">
        <f>AL143</f>
        <v>1</v>
      </c>
      <c r="DB143">
        <v>0</v>
      </c>
    </row>
    <row r="144" spans="1:106" x14ac:dyDescent="0.2">
      <c r="A144">
        <f>ROW(Source!A114)</f>
        <v>114</v>
      </c>
      <c r="B144">
        <v>39616881</v>
      </c>
      <c r="C144">
        <v>39617594</v>
      </c>
      <c r="D144">
        <v>36882452</v>
      </c>
      <c r="E144">
        <v>1</v>
      </c>
      <c r="F144">
        <v>1</v>
      </c>
      <c r="G144">
        <v>1</v>
      </c>
      <c r="H144">
        <v>2</v>
      </c>
      <c r="I144" t="s">
        <v>462</v>
      </c>
      <c r="J144" t="s">
        <v>463</v>
      </c>
      <c r="K144" t="s">
        <v>464</v>
      </c>
      <c r="L144">
        <v>1368</v>
      </c>
      <c r="N144">
        <v>1011</v>
      </c>
      <c r="O144" t="s">
        <v>465</v>
      </c>
      <c r="P144" t="s">
        <v>465</v>
      </c>
      <c r="Q144">
        <v>1</v>
      </c>
      <c r="W144">
        <v>0</v>
      </c>
      <c r="X144">
        <v>1188625873</v>
      </c>
      <c r="Y144">
        <v>0.01</v>
      </c>
      <c r="AA144">
        <v>0</v>
      </c>
      <c r="AB144">
        <v>206.63</v>
      </c>
      <c r="AC144">
        <v>13.5</v>
      </c>
      <c r="AD144">
        <v>0</v>
      </c>
      <c r="AE144">
        <v>0</v>
      </c>
      <c r="AF144">
        <v>31.26</v>
      </c>
      <c r="AG144">
        <v>13.5</v>
      </c>
      <c r="AH144">
        <v>0</v>
      </c>
      <c r="AI144">
        <v>1</v>
      </c>
      <c r="AJ144">
        <v>6.61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0.01</v>
      </c>
      <c r="AU144" t="s">
        <v>3</v>
      </c>
      <c r="AV144">
        <v>0</v>
      </c>
      <c r="AW144">
        <v>2</v>
      </c>
      <c r="AX144">
        <v>39617597</v>
      </c>
      <c r="AY144">
        <v>1</v>
      </c>
      <c r="AZ144">
        <v>0</v>
      </c>
      <c r="BA144">
        <v>136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Y144*Source!I114</f>
        <v>4.1999999999999997E-3</v>
      </c>
      <c r="CY144">
        <f>AB144</f>
        <v>206.63</v>
      </c>
      <c r="CZ144">
        <f>AF144</f>
        <v>31.26</v>
      </c>
      <c r="DA144">
        <f>AJ144</f>
        <v>6.61</v>
      </c>
      <c r="DB144">
        <v>0</v>
      </c>
    </row>
    <row r="145" spans="1:106" x14ac:dyDescent="0.2">
      <c r="A145">
        <f>ROW(Source!A114)</f>
        <v>114</v>
      </c>
      <c r="B145">
        <v>39616881</v>
      </c>
      <c r="C145">
        <v>39617594</v>
      </c>
      <c r="D145">
        <v>36804582</v>
      </c>
      <c r="E145">
        <v>1</v>
      </c>
      <c r="F145">
        <v>1</v>
      </c>
      <c r="G145">
        <v>1</v>
      </c>
      <c r="H145">
        <v>3</v>
      </c>
      <c r="I145" t="s">
        <v>602</v>
      </c>
      <c r="J145" t="s">
        <v>603</v>
      </c>
      <c r="K145" t="s">
        <v>604</v>
      </c>
      <c r="L145">
        <v>1356</v>
      </c>
      <c r="N145">
        <v>1010</v>
      </c>
      <c r="O145" t="s">
        <v>501</v>
      </c>
      <c r="P145" t="s">
        <v>501</v>
      </c>
      <c r="Q145">
        <v>1000</v>
      </c>
      <c r="W145">
        <v>0</v>
      </c>
      <c r="X145">
        <v>1975348994</v>
      </c>
      <c r="Y145">
        <v>0.2</v>
      </c>
      <c r="AA145">
        <v>1189.8</v>
      </c>
      <c r="AB145">
        <v>0</v>
      </c>
      <c r="AC145">
        <v>0</v>
      </c>
      <c r="AD145">
        <v>0</v>
      </c>
      <c r="AE145">
        <v>180</v>
      </c>
      <c r="AF145">
        <v>0</v>
      </c>
      <c r="AG145">
        <v>0</v>
      </c>
      <c r="AH145">
        <v>0</v>
      </c>
      <c r="AI145">
        <v>6.61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0.2</v>
      </c>
      <c r="AU145" t="s">
        <v>3</v>
      </c>
      <c r="AV145">
        <v>0</v>
      </c>
      <c r="AW145">
        <v>2</v>
      </c>
      <c r="AX145">
        <v>39617598</v>
      </c>
      <c r="AY145">
        <v>1</v>
      </c>
      <c r="AZ145">
        <v>0</v>
      </c>
      <c r="BA145">
        <v>137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Y145*Source!I114</f>
        <v>8.4000000000000005E-2</v>
      </c>
      <c r="CY145">
        <f>AA145</f>
        <v>1189.8</v>
      </c>
      <c r="CZ145">
        <f>AE145</f>
        <v>180</v>
      </c>
      <c r="DA145">
        <f>AI145</f>
        <v>6.61</v>
      </c>
      <c r="DB145">
        <v>0</v>
      </c>
    </row>
    <row r="146" spans="1:106" x14ac:dyDescent="0.2">
      <c r="A146">
        <f>ROW(Source!A114)</f>
        <v>114</v>
      </c>
      <c r="B146">
        <v>39616881</v>
      </c>
      <c r="C146">
        <v>39617594</v>
      </c>
      <c r="D146">
        <v>36804944</v>
      </c>
      <c r="E146">
        <v>1</v>
      </c>
      <c r="F146">
        <v>1</v>
      </c>
      <c r="G146">
        <v>1</v>
      </c>
      <c r="H146">
        <v>3</v>
      </c>
      <c r="I146" t="s">
        <v>605</v>
      </c>
      <c r="J146" t="s">
        <v>606</v>
      </c>
      <c r="K146" t="s">
        <v>607</v>
      </c>
      <c r="L146">
        <v>1348</v>
      </c>
      <c r="N146">
        <v>1009</v>
      </c>
      <c r="O146" t="s">
        <v>72</v>
      </c>
      <c r="P146" t="s">
        <v>72</v>
      </c>
      <c r="Q146">
        <v>1000</v>
      </c>
      <c r="W146">
        <v>0</v>
      </c>
      <c r="X146">
        <v>-1755229539</v>
      </c>
      <c r="Y146">
        <v>1E-3</v>
      </c>
      <c r="AA146">
        <v>82162.3</v>
      </c>
      <c r="AB146">
        <v>0</v>
      </c>
      <c r="AC146">
        <v>0</v>
      </c>
      <c r="AD146">
        <v>0</v>
      </c>
      <c r="AE146">
        <v>12430</v>
      </c>
      <c r="AF146">
        <v>0</v>
      </c>
      <c r="AG146">
        <v>0</v>
      </c>
      <c r="AH146">
        <v>0</v>
      </c>
      <c r="AI146">
        <v>6.61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1E-3</v>
      </c>
      <c r="AU146" t="s">
        <v>3</v>
      </c>
      <c r="AV146">
        <v>0</v>
      </c>
      <c r="AW146">
        <v>2</v>
      </c>
      <c r="AX146">
        <v>39617599</v>
      </c>
      <c r="AY146">
        <v>1</v>
      </c>
      <c r="AZ146">
        <v>0</v>
      </c>
      <c r="BA146">
        <v>138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Y146*Source!I114</f>
        <v>4.2000000000000002E-4</v>
      </c>
      <c r="CY146">
        <f>AA146</f>
        <v>82162.3</v>
      </c>
      <c r="CZ146">
        <f>AE146</f>
        <v>12430</v>
      </c>
      <c r="DA146">
        <f>AI146</f>
        <v>6.61</v>
      </c>
      <c r="DB146">
        <v>0</v>
      </c>
    </row>
    <row r="147" spans="1:106" x14ac:dyDescent="0.2">
      <c r="A147">
        <f>ROW(Source!A114)</f>
        <v>114</v>
      </c>
      <c r="B147">
        <v>39616881</v>
      </c>
      <c r="C147">
        <v>39617594</v>
      </c>
      <c r="D147">
        <v>36852927</v>
      </c>
      <c r="E147">
        <v>1</v>
      </c>
      <c r="F147">
        <v>1</v>
      </c>
      <c r="G147">
        <v>1</v>
      </c>
      <c r="H147">
        <v>3</v>
      </c>
      <c r="I147" t="s">
        <v>308</v>
      </c>
      <c r="J147" t="s">
        <v>310</v>
      </c>
      <c r="K147" t="s">
        <v>309</v>
      </c>
      <c r="L147">
        <v>1308</v>
      </c>
      <c r="N147">
        <v>1003</v>
      </c>
      <c r="O147" t="s">
        <v>17</v>
      </c>
      <c r="P147" t="s">
        <v>17</v>
      </c>
      <c r="Q147">
        <v>100</v>
      </c>
      <c r="W147">
        <v>0</v>
      </c>
      <c r="X147">
        <v>294537720</v>
      </c>
      <c r="Y147">
        <v>1</v>
      </c>
      <c r="AA147">
        <v>18911.21</v>
      </c>
      <c r="AB147">
        <v>0</v>
      </c>
      <c r="AC147">
        <v>0</v>
      </c>
      <c r="AD147">
        <v>0</v>
      </c>
      <c r="AE147">
        <v>2861</v>
      </c>
      <c r="AF147">
        <v>0</v>
      </c>
      <c r="AG147">
        <v>0</v>
      </c>
      <c r="AH147">
        <v>0</v>
      </c>
      <c r="AI147">
        <v>6.61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3</v>
      </c>
      <c r="AT147">
        <v>1</v>
      </c>
      <c r="AU147" t="s">
        <v>3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Y147*Source!I114</f>
        <v>0.42</v>
      </c>
      <c r="CY147">
        <f>AA147</f>
        <v>18911.21</v>
      </c>
      <c r="CZ147">
        <f>AE147</f>
        <v>2861</v>
      </c>
      <c r="DA147">
        <f>AI147</f>
        <v>6.61</v>
      </c>
      <c r="DB147">
        <v>0</v>
      </c>
    </row>
    <row r="148" spans="1:106" x14ac:dyDescent="0.2">
      <c r="A148">
        <f>ROW(Source!A114)</f>
        <v>114</v>
      </c>
      <c r="B148">
        <v>39616881</v>
      </c>
      <c r="C148">
        <v>39617594</v>
      </c>
      <c r="D148">
        <v>36799065</v>
      </c>
      <c r="E148">
        <v>17</v>
      </c>
      <c r="F148">
        <v>1</v>
      </c>
      <c r="G148">
        <v>1</v>
      </c>
      <c r="H148">
        <v>3</v>
      </c>
      <c r="I148" t="s">
        <v>578</v>
      </c>
      <c r="J148" t="s">
        <v>3</v>
      </c>
      <c r="K148" t="s">
        <v>579</v>
      </c>
      <c r="L148">
        <v>1374</v>
      </c>
      <c r="N148">
        <v>1013</v>
      </c>
      <c r="O148" t="s">
        <v>580</v>
      </c>
      <c r="P148" t="s">
        <v>580</v>
      </c>
      <c r="Q148">
        <v>1</v>
      </c>
      <c r="W148">
        <v>0</v>
      </c>
      <c r="X148">
        <v>-1731369543</v>
      </c>
      <c r="Y148">
        <v>3.1</v>
      </c>
      <c r="AA148">
        <v>1</v>
      </c>
      <c r="AB148">
        <v>0</v>
      </c>
      <c r="AC148">
        <v>0</v>
      </c>
      <c r="AD148">
        <v>0</v>
      </c>
      <c r="AE148">
        <v>1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3.1</v>
      </c>
      <c r="AU148" t="s">
        <v>3</v>
      </c>
      <c r="AV148">
        <v>0</v>
      </c>
      <c r="AW148">
        <v>2</v>
      </c>
      <c r="AX148">
        <v>39617600</v>
      </c>
      <c r="AY148">
        <v>1</v>
      </c>
      <c r="AZ148">
        <v>0</v>
      </c>
      <c r="BA148">
        <v>139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Y148*Source!I114</f>
        <v>1.302</v>
      </c>
      <c r="CY148">
        <f>AA148</f>
        <v>1</v>
      </c>
      <c r="CZ148">
        <f>AE148</f>
        <v>1</v>
      </c>
      <c r="DA148">
        <f>AI148</f>
        <v>1</v>
      </c>
      <c r="DB148">
        <v>0</v>
      </c>
    </row>
    <row r="149" spans="1:106" x14ac:dyDescent="0.2">
      <c r="A149">
        <f>ROW(Source!A116)</f>
        <v>116</v>
      </c>
      <c r="B149">
        <v>39616881</v>
      </c>
      <c r="C149">
        <v>39617601</v>
      </c>
      <c r="D149">
        <v>37064878</v>
      </c>
      <c r="E149">
        <v>1</v>
      </c>
      <c r="F149">
        <v>1</v>
      </c>
      <c r="G149">
        <v>1</v>
      </c>
      <c r="H149">
        <v>1</v>
      </c>
      <c r="I149" t="s">
        <v>466</v>
      </c>
      <c r="J149" t="s">
        <v>3</v>
      </c>
      <c r="K149" t="s">
        <v>467</v>
      </c>
      <c r="L149">
        <v>1191</v>
      </c>
      <c r="N149">
        <v>1013</v>
      </c>
      <c r="O149" t="s">
        <v>459</v>
      </c>
      <c r="P149" t="s">
        <v>459</v>
      </c>
      <c r="Q149">
        <v>1</v>
      </c>
      <c r="W149">
        <v>0</v>
      </c>
      <c r="X149">
        <v>-1081351934</v>
      </c>
      <c r="Y149">
        <v>3.76</v>
      </c>
      <c r="AA149">
        <v>0</v>
      </c>
      <c r="AB149">
        <v>0</v>
      </c>
      <c r="AC149">
        <v>0</v>
      </c>
      <c r="AD149">
        <v>62.13</v>
      </c>
      <c r="AE149">
        <v>0</v>
      </c>
      <c r="AF149">
        <v>0</v>
      </c>
      <c r="AG149">
        <v>0</v>
      </c>
      <c r="AH149">
        <v>9.4</v>
      </c>
      <c r="AI149">
        <v>1</v>
      </c>
      <c r="AJ149">
        <v>1</v>
      </c>
      <c r="AK149">
        <v>1</v>
      </c>
      <c r="AL149">
        <v>6.61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3.76</v>
      </c>
      <c r="AU149" t="s">
        <v>3</v>
      </c>
      <c r="AV149">
        <v>1</v>
      </c>
      <c r="AW149">
        <v>2</v>
      </c>
      <c r="AX149">
        <v>39617602</v>
      </c>
      <c r="AY149">
        <v>1</v>
      </c>
      <c r="AZ149">
        <v>0</v>
      </c>
      <c r="BA149">
        <v>140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Y149*Source!I116</f>
        <v>1.8047999999999997</v>
      </c>
      <c r="CY149">
        <f>AD149</f>
        <v>62.13</v>
      </c>
      <c r="CZ149">
        <f>AH149</f>
        <v>9.4</v>
      </c>
      <c r="DA149">
        <f>AL149</f>
        <v>6.61</v>
      </c>
      <c r="DB149">
        <v>0</v>
      </c>
    </row>
    <row r="150" spans="1:106" x14ac:dyDescent="0.2">
      <c r="A150">
        <f>ROW(Source!A116)</f>
        <v>116</v>
      </c>
      <c r="B150">
        <v>39616881</v>
      </c>
      <c r="C150">
        <v>39617601</v>
      </c>
      <c r="D150">
        <v>37064876</v>
      </c>
      <c r="E150">
        <v>1</v>
      </c>
      <c r="F150">
        <v>1</v>
      </c>
      <c r="G150">
        <v>1</v>
      </c>
      <c r="H150">
        <v>1</v>
      </c>
      <c r="I150" t="s">
        <v>460</v>
      </c>
      <c r="J150" t="s">
        <v>3</v>
      </c>
      <c r="K150" t="s">
        <v>461</v>
      </c>
      <c r="L150">
        <v>1191</v>
      </c>
      <c r="N150">
        <v>1013</v>
      </c>
      <c r="O150" t="s">
        <v>459</v>
      </c>
      <c r="P150" t="s">
        <v>459</v>
      </c>
      <c r="Q150">
        <v>1</v>
      </c>
      <c r="W150">
        <v>0</v>
      </c>
      <c r="X150">
        <v>-1417349443</v>
      </c>
      <c r="Y150">
        <v>0.02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6.61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0.02</v>
      </c>
      <c r="AU150" t="s">
        <v>3</v>
      </c>
      <c r="AV150">
        <v>2</v>
      </c>
      <c r="AW150">
        <v>2</v>
      </c>
      <c r="AX150">
        <v>39617603</v>
      </c>
      <c r="AY150">
        <v>1</v>
      </c>
      <c r="AZ150">
        <v>0</v>
      </c>
      <c r="BA150">
        <v>141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Y150*Source!I116</f>
        <v>9.5999999999999992E-3</v>
      </c>
      <c r="CY150">
        <f>AD150</f>
        <v>0</v>
      </c>
      <c r="CZ150">
        <f>AH150</f>
        <v>0</v>
      </c>
      <c r="DA150">
        <f>AL150</f>
        <v>1</v>
      </c>
      <c r="DB150">
        <v>0</v>
      </c>
    </row>
    <row r="151" spans="1:106" x14ac:dyDescent="0.2">
      <c r="A151">
        <f>ROW(Source!A116)</f>
        <v>116</v>
      </c>
      <c r="B151">
        <v>39616881</v>
      </c>
      <c r="C151">
        <v>39617601</v>
      </c>
      <c r="D151">
        <v>36882159</v>
      </c>
      <c r="E151">
        <v>1</v>
      </c>
      <c r="F151">
        <v>1</v>
      </c>
      <c r="G151">
        <v>1</v>
      </c>
      <c r="H151">
        <v>2</v>
      </c>
      <c r="I151" t="s">
        <v>566</v>
      </c>
      <c r="J151" t="s">
        <v>567</v>
      </c>
      <c r="K151" t="s">
        <v>568</v>
      </c>
      <c r="L151">
        <v>1368</v>
      </c>
      <c r="N151">
        <v>1011</v>
      </c>
      <c r="O151" t="s">
        <v>465</v>
      </c>
      <c r="P151" t="s">
        <v>465</v>
      </c>
      <c r="Q151">
        <v>1</v>
      </c>
      <c r="W151">
        <v>0</v>
      </c>
      <c r="X151">
        <v>-1718674368</v>
      </c>
      <c r="Y151">
        <v>0.01</v>
      </c>
      <c r="AA151">
        <v>0</v>
      </c>
      <c r="AB151">
        <v>740.25</v>
      </c>
      <c r="AC151">
        <v>13.5</v>
      </c>
      <c r="AD151">
        <v>0</v>
      </c>
      <c r="AE151">
        <v>0</v>
      </c>
      <c r="AF151">
        <v>111.99</v>
      </c>
      <c r="AG151">
        <v>13.5</v>
      </c>
      <c r="AH151">
        <v>0</v>
      </c>
      <c r="AI151">
        <v>1</v>
      </c>
      <c r="AJ151">
        <v>6.61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0.01</v>
      </c>
      <c r="AU151" t="s">
        <v>3</v>
      </c>
      <c r="AV151">
        <v>0</v>
      </c>
      <c r="AW151">
        <v>2</v>
      </c>
      <c r="AX151">
        <v>39617604</v>
      </c>
      <c r="AY151">
        <v>1</v>
      </c>
      <c r="AZ151">
        <v>0</v>
      </c>
      <c r="BA151">
        <v>142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Y151*Source!I116</f>
        <v>4.7999999999999996E-3</v>
      </c>
      <c r="CY151">
        <f>AB151</f>
        <v>740.25</v>
      </c>
      <c r="CZ151">
        <f>AF151</f>
        <v>111.99</v>
      </c>
      <c r="DA151">
        <f>AJ151</f>
        <v>6.61</v>
      </c>
      <c r="DB151">
        <v>0</v>
      </c>
    </row>
    <row r="152" spans="1:106" x14ac:dyDescent="0.2">
      <c r="A152">
        <f>ROW(Source!A116)</f>
        <v>116</v>
      </c>
      <c r="B152">
        <v>39616881</v>
      </c>
      <c r="C152">
        <v>39617601</v>
      </c>
      <c r="D152">
        <v>36883554</v>
      </c>
      <c r="E152">
        <v>1</v>
      </c>
      <c r="F152">
        <v>1</v>
      </c>
      <c r="G152">
        <v>1</v>
      </c>
      <c r="H152">
        <v>2</v>
      </c>
      <c r="I152" t="s">
        <v>468</v>
      </c>
      <c r="J152" t="s">
        <v>469</v>
      </c>
      <c r="K152" t="s">
        <v>470</v>
      </c>
      <c r="L152">
        <v>1368</v>
      </c>
      <c r="N152">
        <v>1011</v>
      </c>
      <c r="O152" t="s">
        <v>465</v>
      </c>
      <c r="P152" t="s">
        <v>465</v>
      </c>
      <c r="Q152">
        <v>1</v>
      </c>
      <c r="W152">
        <v>0</v>
      </c>
      <c r="X152">
        <v>1372534845</v>
      </c>
      <c r="Y152">
        <v>0.01</v>
      </c>
      <c r="AA152">
        <v>0</v>
      </c>
      <c r="AB152">
        <v>434.34</v>
      </c>
      <c r="AC152">
        <v>11.6</v>
      </c>
      <c r="AD152">
        <v>0</v>
      </c>
      <c r="AE152">
        <v>0</v>
      </c>
      <c r="AF152">
        <v>65.709999999999994</v>
      </c>
      <c r="AG152">
        <v>11.6</v>
      </c>
      <c r="AH152">
        <v>0</v>
      </c>
      <c r="AI152">
        <v>1</v>
      </c>
      <c r="AJ152">
        <v>6.61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0.01</v>
      </c>
      <c r="AU152" t="s">
        <v>3</v>
      </c>
      <c r="AV152">
        <v>0</v>
      </c>
      <c r="AW152">
        <v>2</v>
      </c>
      <c r="AX152">
        <v>39617605</v>
      </c>
      <c r="AY152">
        <v>1</v>
      </c>
      <c r="AZ152">
        <v>0</v>
      </c>
      <c r="BA152">
        <v>143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Y152*Source!I116</f>
        <v>4.7999999999999996E-3</v>
      </c>
      <c r="CY152">
        <f>AB152</f>
        <v>434.34</v>
      </c>
      <c r="CZ152">
        <f>AF152</f>
        <v>65.709999999999994</v>
      </c>
      <c r="DA152">
        <f>AJ152</f>
        <v>6.61</v>
      </c>
      <c r="DB152">
        <v>0</v>
      </c>
    </row>
    <row r="153" spans="1:106" x14ac:dyDescent="0.2">
      <c r="A153">
        <f>ROW(Source!A116)</f>
        <v>116</v>
      </c>
      <c r="B153">
        <v>39616881</v>
      </c>
      <c r="C153">
        <v>39617601</v>
      </c>
      <c r="D153">
        <v>36802094</v>
      </c>
      <c r="E153">
        <v>1</v>
      </c>
      <c r="F153">
        <v>1</v>
      </c>
      <c r="G153">
        <v>1</v>
      </c>
      <c r="H153">
        <v>3</v>
      </c>
      <c r="I153" t="s">
        <v>569</v>
      </c>
      <c r="J153" t="s">
        <v>570</v>
      </c>
      <c r="K153" t="s">
        <v>571</v>
      </c>
      <c r="L153">
        <v>1346</v>
      </c>
      <c r="N153">
        <v>1009</v>
      </c>
      <c r="O153" t="s">
        <v>77</v>
      </c>
      <c r="P153" t="s">
        <v>77</v>
      </c>
      <c r="Q153">
        <v>1</v>
      </c>
      <c r="W153">
        <v>0</v>
      </c>
      <c r="X153">
        <v>-1088866022</v>
      </c>
      <c r="Y153">
        <v>0.16</v>
      </c>
      <c r="AA153">
        <v>200.94</v>
      </c>
      <c r="AB153">
        <v>0</v>
      </c>
      <c r="AC153">
        <v>0</v>
      </c>
      <c r="AD153">
        <v>0</v>
      </c>
      <c r="AE153">
        <v>30.4</v>
      </c>
      <c r="AF153">
        <v>0</v>
      </c>
      <c r="AG153">
        <v>0</v>
      </c>
      <c r="AH153">
        <v>0</v>
      </c>
      <c r="AI153">
        <v>6.61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0.16</v>
      </c>
      <c r="AU153" t="s">
        <v>3</v>
      </c>
      <c r="AV153">
        <v>0</v>
      </c>
      <c r="AW153">
        <v>2</v>
      </c>
      <c r="AX153">
        <v>39617606</v>
      </c>
      <c r="AY153">
        <v>1</v>
      </c>
      <c r="AZ153">
        <v>0</v>
      </c>
      <c r="BA153">
        <v>144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Y153*Source!I116</f>
        <v>7.6799999999999993E-2</v>
      </c>
      <c r="CY153">
        <f>AA153</f>
        <v>200.94</v>
      </c>
      <c r="CZ153">
        <f>AE153</f>
        <v>30.4</v>
      </c>
      <c r="DA153">
        <f>AI153</f>
        <v>6.61</v>
      </c>
      <c r="DB153">
        <v>0</v>
      </c>
    </row>
    <row r="154" spans="1:106" x14ac:dyDescent="0.2">
      <c r="A154">
        <f>ROW(Source!A116)</f>
        <v>116</v>
      </c>
      <c r="B154">
        <v>39616881</v>
      </c>
      <c r="C154">
        <v>39617601</v>
      </c>
      <c r="D154">
        <v>36802106</v>
      </c>
      <c r="E154">
        <v>1</v>
      </c>
      <c r="F154">
        <v>1</v>
      </c>
      <c r="G154">
        <v>1</v>
      </c>
      <c r="H154">
        <v>3</v>
      </c>
      <c r="I154" t="s">
        <v>608</v>
      </c>
      <c r="J154" t="s">
        <v>609</v>
      </c>
      <c r="K154" t="s">
        <v>610</v>
      </c>
      <c r="L154">
        <v>1308</v>
      </c>
      <c r="N154">
        <v>1003</v>
      </c>
      <c r="O154" t="s">
        <v>17</v>
      </c>
      <c r="P154" t="s">
        <v>17</v>
      </c>
      <c r="Q154">
        <v>100</v>
      </c>
      <c r="W154">
        <v>0</v>
      </c>
      <c r="X154">
        <v>568244124</v>
      </c>
      <c r="Y154">
        <v>5.5E-2</v>
      </c>
      <c r="AA154">
        <v>793.2</v>
      </c>
      <c r="AB154">
        <v>0</v>
      </c>
      <c r="AC154">
        <v>0</v>
      </c>
      <c r="AD154">
        <v>0</v>
      </c>
      <c r="AE154">
        <v>120</v>
      </c>
      <c r="AF154">
        <v>0</v>
      </c>
      <c r="AG154">
        <v>0</v>
      </c>
      <c r="AH154">
        <v>0</v>
      </c>
      <c r="AI154">
        <v>6.61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5.5E-2</v>
      </c>
      <c r="AU154" t="s">
        <v>3</v>
      </c>
      <c r="AV154">
        <v>0</v>
      </c>
      <c r="AW154">
        <v>2</v>
      </c>
      <c r="AX154">
        <v>39617607</v>
      </c>
      <c r="AY154">
        <v>1</v>
      </c>
      <c r="AZ154">
        <v>0</v>
      </c>
      <c r="BA154">
        <v>145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Y154*Source!I116</f>
        <v>2.64E-2</v>
      </c>
      <c r="CY154">
        <f>AA154</f>
        <v>793.2</v>
      </c>
      <c r="CZ154">
        <f>AE154</f>
        <v>120</v>
      </c>
      <c r="DA154">
        <f>AI154</f>
        <v>6.61</v>
      </c>
      <c r="DB154">
        <v>0</v>
      </c>
    </row>
    <row r="155" spans="1:106" x14ac:dyDescent="0.2">
      <c r="A155">
        <f>ROW(Source!A116)</f>
        <v>116</v>
      </c>
      <c r="B155">
        <v>39616881</v>
      </c>
      <c r="C155">
        <v>39617601</v>
      </c>
      <c r="D155">
        <v>36838317</v>
      </c>
      <c r="E155">
        <v>1</v>
      </c>
      <c r="F155">
        <v>1</v>
      </c>
      <c r="G155">
        <v>1</v>
      </c>
      <c r="H155">
        <v>3</v>
      </c>
      <c r="I155" t="s">
        <v>592</v>
      </c>
      <c r="J155" t="s">
        <v>593</v>
      </c>
      <c r="K155" t="s">
        <v>191</v>
      </c>
      <c r="L155">
        <v>1346</v>
      </c>
      <c r="N155">
        <v>1009</v>
      </c>
      <c r="O155" t="s">
        <v>77</v>
      </c>
      <c r="P155" t="s">
        <v>77</v>
      </c>
      <c r="Q155">
        <v>1</v>
      </c>
      <c r="W155">
        <v>0</v>
      </c>
      <c r="X155">
        <v>210558753</v>
      </c>
      <c r="Y155">
        <v>0.05</v>
      </c>
      <c r="AA155">
        <v>189.05</v>
      </c>
      <c r="AB155">
        <v>0</v>
      </c>
      <c r="AC155">
        <v>0</v>
      </c>
      <c r="AD155">
        <v>0</v>
      </c>
      <c r="AE155">
        <v>28.6</v>
      </c>
      <c r="AF155">
        <v>0</v>
      </c>
      <c r="AG155">
        <v>0</v>
      </c>
      <c r="AH155">
        <v>0</v>
      </c>
      <c r="AI155">
        <v>6.61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0.05</v>
      </c>
      <c r="AU155" t="s">
        <v>3</v>
      </c>
      <c r="AV155">
        <v>0</v>
      </c>
      <c r="AW155">
        <v>2</v>
      </c>
      <c r="AX155">
        <v>39617608</v>
      </c>
      <c r="AY155">
        <v>1</v>
      </c>
      <c r="AZ155">
        <v>0</v>
      </c>
      <c r="BA155">
        <v>146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Y155*Source!I116</f>
        <v>2.4E-2</v>
      </c>
      <c r="CY155">
        <f>AA155</f>
        <v>189.05</v>
      </c>
      <c r="CZ155">
        <f>AE155</f>
        <v>28.6</v>
      </c>
      <c r="DA155">
        <f>AI155</f>
        <v>6.61</v>
      </c>
      <c r="DB155">
        <v>0</v>
      </c>
    </row>
    <row r="156" spans="1:106" x14ac:dyDescent="0.2">
      <c r="A156">
        <f>ROW(Source!A116)</f>
        <v>116</v>
      </c>
      <c r="B156">
        <v>39616881</v>
      </c>
      <c r="C156">
        <v>39617601</v>
      </c>
      <c r="D156">
        <v>36857511</v>
      </c>
      <c r="E156">
        <v>1</v>
      </c>
      <c r="F156">
        <v>1</v>
      </c>
      <c r="G156">
        <v>1</v>
      </c>
      <c r="H156">
        <v>3</v>
      </c>
      <c r="I156" t="s">
        <v>316</v>
      </c>
      <c r="J156" t="s">
        <v>318</v>
      </c>
      <c r="K156" t="s">
        <v>317</v>
      </c>
      <c r="L156">
        <v>1477</v>
      </c>
      <c r="N156">
        <v>1013</v>
      </c>
      <c r="O156" t="s">
        <v>300</v>
      </c>
      <c r="P156" t="s">
        <v>302</v>
      </c>
      <c r="Q156">
        <v>1</v>
      </c>
      <c r="W156">
        <v>0</v>
      </c>
      <c r="X156">
        <v>559331636</v>
      </c>
      <c r="Y156">
        <v>0.1</v>
      </c>
      <c r="AA156">
        <v>45743.91</v>
      </c>
      <c r="AB156">
        <v>0</v>
      </c>
      <c r="AC156">
        <v>0</v>
      </c>
      <c r="AD156">
        <v>0</v>
      </c>
      <c r="AE156">
        <v>6920.41</v>
      </c>
      <c r="AF156">
        <v>0</v>
      </c>
      <c r="AG156">
        <v>0</v>
      </c>
      <c r="AH156">
        <v>0</v>
      </c>
      <c r="AI156">
        <v>6.61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0.1</v>
      </c>
      <c r="AU156" t="s">
        <v>3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Y156*Source!I116</f>
        <v>4.8000000000000001E-2</v>
      </c>
      <c r="CY156">
        <f>AA156</f>
        <v>45743.91</v>
      </c>
      <c r="CZ156">
        <f>AE156</f>
        <v>6920.41</v>
      </c>
      <c r="DA156">
        <f>AI156</f>
        <v>6.61</v>
      </c>
      <c r="DB156">
        <v>0</v>
      </c>
    </row>
    <row r="157" spans="1:106" x14ac:dyDescent="0.2">
      <c r="A157">
        <f>ROW(Source!A116)</f>
        <v>116</v>
      </c>
      <c r="B157">
        <v>39616881</v>
      </c>
      <c r="C157">
        <v>39617601</v>
      </c>
      <c r="D157">
        <v>36799065</v>
      </c>
      <c r="E157">
        <v>17</v>
      </c>
      <c r="F157">
        <v>1</v>
      </c>
      <c r="G157">
        <v>1</v>
      </c>
      <c r="H157">
        <v>3</v>
      </c>
      <c r="I157" t="s">
        <v>578</v>
      </c>
      <c r="J157" t="s">
        <v>3</v>
      </c>
      <c r="K157" t="s">
        <v>579</v>
      </c>
      <c r="L157">
        <v>1374</v>
      </c>
      <c r="N157">
        <v>1013</v>
      </c>
      <c r="O157" t="s">
        <v>580</v>
      </c>
      <c r="P157" t="s">
        <v>580</v>
      </c>
      <c r="Q157">
        <v>1</v>
      </c>
      <c r="W157">
        <v>0</v>
      </c>
      <c r="X157">
        <v>-1731369543</v>
      </c>
      <c r="Y157">
        <v>0.71</v>
      </c>
      <c r="AA157">
        <v>1</v>
      </c>
      <c r="AB157">
        <v>0</v>
      </c>
      <c r="AC157">
        <v>0</v>
      </c>
      <c r="AD157">
        <v>0</v>
      </c>
      <c r="AE157">
        <v>1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0.71</v>
      </c>
      <c r="AU157" t="s">
        <v>3</v>
      </c>
      <c r="AV157">
        <v>0</v>
      </c>
      <c r="AW157">
        <v>2</v>
      </c>
      <c r="AX157">
        <v>39617609</v>
      </c>
      <c r="AY157">
        <v>1</v>
      </c>
      <c r="AZ157">
        <v>0</v>
      </c>
      <c r="BA157">
        <v>147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Y157*Source!I116</f>
        <v>0.34079999999999999</v>
      </c>
      <c r="CY157">
        <f>AA157</f>
        <v>1</v>
      </c>
      <c r="CZ157">
        <f>AE157</f>
        <v>1</v>
      </c>
      <c r="DA157">
        <f>AI157</f>
        <v>1</v>
      </c>
      <c r="DB157">
        <v>0</v>
      </c>
    </row>
    <row r="158" spans="1:106" x14ac:dyDescent="0.2">
      <c r="A158">
        <f>ROW(Source!A118)</f>
        <v>118</v>
      </c>
      <c r="B158">
        <v>39616881</v>
      </c>
      <c r="C158">
        <v>39617610</v>
      </c>
      <c r="D158">
        <v>37080781</v>
      </c>
      <c r="E158">
        <v>1</v>
      </c>
      <c r="F158">
        <v>1</v>
      </c>
      <c r="G158">
        <v>1</v>
      </c>
      <c r="H158">
        <v>1</v>
      </c>
      <c r="I158" t="s">
        <v>581</v>
      </c>
      <c r="J158" t="s">
        <v>3</v>
      </c>
      <c r="K158" t="s">
        <v>582</v>
      </c>
      <c r="L158">
        <v>1191</v>
      </c>
      <c r="N158">
        <v>1013</v>
      </c>
      <c r="O158" t="s">
        <v>459</v>
      </c>
      <c r="P158" t="s">
        <v>459</v>
      </c>
      <c r="Q158">
        <v>1</v>
      </c>
      <c r="W158">
        <v>0</v>
      </c>
      <c r="X158">
        <v>912892513</v>
      </c>
      <c r="Y158">
        <v>34.56</v>
      </c>
      <c r="AA158">
        <v>0</v>
      </c>
      <c r="AB158">
        <v>0</v>
      </c>
      <c r="AC158">
        <v>0</v>
      </c>
      <c r="AD158">
        <v>65.569999999999993</v>
      </c>
      <c r="AE158">
        <v>0</v>
      </c>
      <c r="AF158">
        <v>0</v>
      </c>
      <c r="AG158">
        <v>0</v>
      </c>
      <c r="AH158">
        <v>9.92</v>
      </c>
      <c r="AI158">
        <v>1</v>
      </c>
      <c r="AJ158">
        <v>1</v>
      </c>
      <c r="AK158">
        <v>1</v>
      </c>
      <c r="AL158">
        <v>6.61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34.56</v>
      </c>
      <c r="AU158" t="s">
        <v>3</v>
      </c>
      <c r="AV158">
        <v>1</v>
      </c>
      <c r="AW158">
        <v>2</v>
      </c>
      <c r="AX158">
        <v>39617611</v>
      </c>
      <c r="AY158">
        <v>1</v>
      </c>
      <c r="AZ158">
        <v>0</v>
      </c>
      <c r="BA158">
        <v>148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Y158*Source!I118</f>
        <v>2.7648000000000001</v>
      </c>
      <c r="CY158">
        <f>AD158</f>
        <v>65.569999999999993</v>
      </c>
      <c r="CZ158">
        <f>AH158</f>
        <v>9.92</v>
      </c>
      <c r="DA158">
        <f>AL158</f>
        <v>6.61</v>
      </c>
      <c r="DB158">
        <v>0</v>
      </c>
    </row>
    <row r="159" spans="1:106" x14ac:dyDescent="0.2">
      <c r="A159">
        <f>ROW(Source!A118)</f>
        <v>118</v>
      </c>
      <c r="B159">
        <v>39616881</v>
      </c>
      <c r="C159">
        <v>39617610</v>
      </c>
      <c r="D159">
        <v>37064876</v>
      </c>
      <c r="E159">
        <v>1</v>
      </c>
      <c r="F159">
        <v>1</v>
      </c>
      <c r="G159">
        <v>1</v>
      </c>
      <c r="H159">
        <v>1</v>
      </c>
      <c r="I159" t="s">
        <v>460</v>
      </c>
      <c r="J159" t="s">
        <v>3</v>
      </c>
      <c r="K159" t="s">
        <v>461</v>
      </c>
      <c r="L159">
        <v>1191</v>
      </c>
      <c r="N159">
        <v>1013</v>
      </c>
      <c r="O159" t="s">
        <v>459</v>
      </c>
      <c r="P159" t="s">
        <v>459</v>
      </c>
      <c r="Q159">
        <v>1</v>
      </c>
      <c r="W159">
        <v>0</v>
      </c>
      <c r="X159">
        <v>-1417349443</v>
      </c>
      <c r="Y159">
        <v>0.05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6.61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0.05</v>
      </c>
      <c r="AU159" t="s">
        <v>3</v>
      </c>
      <c r="AV159">
        <v>2</v>
      </c>
      <c r="AW159">
        <v>2</v>
      </c>
      <c r="AX159">
        <v>39617612</v>
      </c>
      <c r="AY159">
        <v>1</v>
      </c>
      <c r="AZ159">
        <v>0</v>
      </c>
      <c r="BA159">
        <v>149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Y159*Source!I118</f>
        <v>4.0000000000000001E-3</v>
      </c>
      <c r="CY159">
        <f>AD159</f>
        <v>0</v>
      </c>
      <c r="CZ159">
        <f>AH159</f>
        <v>0</v>
      </c>
      <c r="DA159">
        <f>AL159</f>
        <v>1</v>
      </c>
      <c r="DB159">
        <v>0</v>
      </c>
    </row>
    <row r="160" spans="1:106" x14ac:dyDescent="0.2">
      <c r="A160">
        <f>ROW(Source!A118)</f>
        <v>118</v>
      </c>
      <c r="B160">
        <v>39616881</v>
      </c>
      <c r="C160">
        <v>39617610</v>
      </c>
      <c r="D160">
        <v>36882159</v>
      </c>
      <c r="E160">
        <v>1</v>
      </c>
      <c r="F160">
        <v>1</v>
      </c>
      <c r="G160">
        <v>1</v>
      </c>
      <c r="H160">
        <v>2</v>
      </c>
      <c r="I160" t="s">
        <v>566</v>
      </c>
      <c r="J160" t="s">
        <v>567</v>
      </c>
      <c r="K160" t="s">
        <v>568</v>
      </c>
      <c r="L160">
        <v>1368</v>
      </c>
      <c r="N160">
        <v>1011</v>
      </c>
      <c r="O160" t="s">
        <v>465</v>
      </c>
      <c r="P160" t="s">
        <v>465</v>
      </c>
      <c r="Q160">
        <v>1</v>
      </c>
      <c r="W160">
        <v>0</v>
      </c>
      <c r="X160">
        <v>-1718674368</v>
      </c>
      <c r="Y160">
        <v>0.03</v>
      </c>
      <c r="AA160">
        <v>0</v>
      </c>
      <c r="AB160">
        <v>740.25</v>
      </c>
      <c r="AC160">
        <v>13.5</v>
      </c>
      <c r="AD160">
        <v>0</v>
      </c>
      <c r="AE160">
        <v>0</v>
      </c>
      <c r="AF160">
        <v>111.99</v>
      </c>
      <c r="AG160">
        <v>13.5</v>
      </c>
      <c r="AH160">
        <v>0</v>
      </c>
      <c r="AI160">
        <v>1</v>
      </c>
      <c r="AJ160">
        <v>6.61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0.03</v>
      </c>
      <c r="AU160" t="s">
        <v>3</v>
      </c>
      <c r="AV160">
        <v>0</v>
      </c>
      <c r="AW160">
        <v>2</v>
      </c>
      <c r="AX160">
        <v>39617613</v>
      </c>
      <c r="AY160">
        <v>1</v>
      </c>
      <c r="AZ160">
        <v>0</v>
      </c>
      <c r="BA160">
        <v>150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Y160*Source!I118</f>
        <v>2.3999999999999998E-3</v>
      </c>
      <c r="CY160">
        <f>AB160</f>
        <v>740.25</v>
      </c>
      <c r="CZ160">
        <f>AF160</f>
        <v>111.99</v>
      </c>
      <c r="DA160">
        <f>AJ160</f>
        <v>6.61</v>
      </c>
      <c r="DB160">
        <v>0</v>
      </c>
    </row>
    <row r="161" spans="1:106" x14ac:dyDescent="0.2">
      <c r="A161">
        <f>ROW(Source!A118)</f>
        <v>118</v>
      </c>
      <c r="B161">
        <v>39616881</v>
      </c>
      <c r="C161">
        <v>39617610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468</v>
      </c>
      <c r="J161" t="s">
        <v>469</v>
      </c>
      <c r="K161" t="s">
        <v>470</v>
      </c>
      <c r="L161">
        <v>1368</v>
      </c>
      <c r="N161">
        <v>1011</v>
      </c>
      <c r="O161" t="s">
        <v>465</v>
      </c>
      <c r="P161" t="s">
        <v>465</v>
      </c>
      <c r="Q161">
        <v>1</v>
      </c>
      <c r="W161">
        <v>0</v>
      </c>
      <c r="X161">
        <v>1372534845</v>
      </c>
      <c r="Y161">
        <v>0.02</v>
      </c>
      <c r="AA161">
        <v>0</v>
      </c>
      <c r="AB161">
        <v>434.34</v>
      </c>
      <c r="AC161">
        <v>11.6</v>
      </c>
      <c r="AD161">
        <v>0</v>
      </c>
      <c r="AE161">
        <v>0</v>
      </c>
      <c r="AF161">
        <v>65.709999999999994</v>
      </c>
      <c r="AG161">
        <v>11.6</v>
      </c>
      <c r="AH161">
        <v>0</v>
      </c>
      <c r="AI161">
        <v>1</v>
      </c>
      <c r="AJ161">
        <v>6.61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0.02</v>
      </c>
      <c r="AU161" t="s">
        <v>3</v>
      </c>
      <c r="AV161">
        <v>0</v>
      </c>
      <c r="AW161">
        <v>2</v>
      </c>
      <c r="AX161">
        <v>39617614</v>
      </c>
      <c r="AY161">
        <v>1</v>
      </c>
      <c r="AZ161">
        <v>0</v>
      </c>
      <c r="BA161">
        <v>151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Y161*Source!I118</f>
        <v>1.6000000000000001E-3</v>
      </c>
      <c r="CY161">
        <f>AB161</f>
        <v>434.34</v>
      </c>
      <c r="CZ161">
        <f>AF161</f>
        <v>65.709999999999994</v>
      </c>
      <c r="DA161">
        <f>AJ161</f>
        <v>6.61</v>
      </c>
      <c r="DB161">
        <v>0</v>
      </c>
    </row>
    <row r="162" spans="1:106" x14ac:dyDescent="0.2">
      <c r="A162">
        <f>ROW(Source!A118)</f>
        <v>118</v>
      </c>
      <c r="B162">
        <v>39616881</v>
      </c>
      <c r="C162">
        <v>39617610</v>
      </c>
      <c r="D162">
        <v>36802094</v>
      </c>
      <c r="E162">
        <v>1</v>
      </c>
      <c r="F162">
        <v>1</v>
      </c>
      <c r="G162">
        <v>1</v>
      </c>
      <c r="H162">
        <v>3</v>
      </c>
      <c r="I162" t="s">
        <v>569</v>
      </c>
      <c r="J162" t="s">
        <v>570</v>
      </c>
      <c r="K162" t="s">
        <v>571</v>
      </c>
      <c r="L162">
        <v>1346</v>
      </c>
      <c r="N162">
        <v>1009</v>
      </c>
      <c r="O162" t="s">
        <v>77</v>
      </c>
      <c r="P162" t="s">
        <v>77</v>
      </c>
      <c r="Q162">
        <v>1</v>
      </c>
      <c r="W162">
        <v>0</v>
      </c>
      <c r="X162">
        <v>-1088866022</v>
      </c>
      <c r="Y162">
        <v>0.11</v>
      </c>
      <c r="AA162">
        <v>200.94</v>
      </c>
      <c r="AB162">
        <v>0</v>
      </c>
      <c r="AC162">
        <v>0</v>
      </c>
      <c r="AD162">
        <v>0</v>
      </c>
      <c r="AE162">
        <v>30.4</v>
      </c>
      <c r="AF162">
        <v>0</v>
      </c>
      <c r="AG162">
        <v>0</v>
      </c>
      <c r="AH162">
        <v>0</v>
      </c>
      <c r="AI162">
        <v>6.61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0.11</v>
      </c>
      <c r="AU162" t="s">
        <v>3</v>
      </c>
      <c r="AV162">
        <v>0</v>
      </c>
      <c r="AW162">
        <v>2</v>
      </c>
      <c r="AX162">
        <v>39617615</v>
      </c>
      <c r="AY162">
        <v>1</v>
      </c>
      <c r="AZ162">
        <v>0</v>
      </c>
      <c r="BA162">
        <v>152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Y162*Source!I118</f>
        <v>8.8000000000000005E-3</v>
      </c>
      <c r="CY162">
        <f t="shared" ref="CY162:CY167" si="12">AA162</f>
        <v>200.94</v>
      </c>
      <c r="CZ162">
        <f t="shared" ref="CZ162:CZ167" si="13">AE162</f>
        <v>30.4</v>
      </c>
      <c r="DA162">
        <f t="shared" ref="DA162:DA167" si="14">AI162</f>
        <v>6.61</v>
      </c>
      <c r="DB162">
        <v>0</v>
      </c>
    </row>
    <row r="163" spans="1:106" x14ac:dyDescent="0.2">
      <c r="A163">
        <f>ROW(Source!A118)</f>
        <v>118</v>
      </c>
      <c r="B163">
        <v>39616881</v>
      </c>
      <c r="C163">
        <v>39617610</v>
      </c>
      <c r="D163">
        <v>36804580</v>
      </c>
      <c r="E163">
        <v>1</v>
      </c>
      <c r="F163">
        <v>1</v>
      </c>
      <c r="G163">
        <v>1</v>
      </c>
      <c r="H163">
        <v>3</v>
      </c>
      <c r="I163" t="s">
        <v>611</v>
      </c>
      <c r="J163" t="s">
        <v>612</v>
      </c>
      <c r="K163" t="s">
        <v>613</v>
      </c>
      <c r="L163">
        <v>1355</v>
      </c>
      <c r="N163">
        <v>1010</v>
      </c>
      <c r="O163" t="s">
        <v>90</v>
      </c>
      <c r="P163" t="s">
        <v>90</v>
      </c>
      <c r="Q163">
        <v>100</v>
      </c>
      <c r="W163">
        <v>0</v>
      </c>
      <c r="X163">
        <v>1794244060</v>
      </c>
      <c r="Y163">
        <v>1.02</v>
      </c>
      <c r="AA163">
        <v>568.46</v>
      </c>
      <c r="AB163">
        <v>0</v>
      </c>
      <c r="AC163">
        <v>0</v>
      </c>
      <c r="AD163">
        <v>0</v>
      </c>
      <c r="AE163">
        <v>86</v>
      </c>
      <c r="AF163">
        <v>0</v>
      </c>
      <c r="AG163">
        <v>0</v>
      </c>
      <c r="AH163">
        <v>0</v>
      </c>
      <c r="AI163">
        <v>6.61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1.02</v>
      </c>
      <c r="AU163" t="s">
        <v>3</v>
      </c>
      <c r="AV163">
        <v>0</v>
      </c>
      <c r="AW163">
        <v>2</v>
      </c>
      <c r="AX163">
        <v>39617616</v>
      </c>
      <c r="AY163">
        <v>1</v>
      </c>
      <c r="AZ163">
        <v>0</v>
      </c>
      <c r="BA163">
        <v>153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Y163*Source!I118</f>
        <v>8.1600000000000006E-2</v>
      </c>
      <c r="CY163">
        <f t="shared" si="12"/>
        <v>568.46</v>
      </c>
      <c r="CZ163">
        <f t="shared" si="13"/>
        <v>86</v>
      </c>
      <c r="DA163">
        <f t="shared" si="14"/>
        <v>6.61</v>
      </c>
      <c r="DB163">
        <v>0</v>
      </c>
    </row>
    <row r="164" spans="1:106" x14ac:dyDescent="0.2">
      <c r="A164">
        <f>ROW(Source!A118)</f>
        <v>118</v>
      </c>
      <c r="B164">
        <v>39616881</v>
      </c>
      <c r="C164">
        <v>39617610</v>
      </c>
      <c r="D164">
        <v>36804940</v>
      </c>
      <c r="E164">
        <v>1</v>
      </c>
      <c r="F164">
        <v>1</v>
      </c>
      <c r="G164">
        <v>1</v>
      </c>
      <c r="H164">
        <v>3</v>
      </c>
      <c r="I164" t="s">
        <v>614</v>
      </c>
      <c r="J164" t="s">
        <v>615</v>
      </c>
      <c r="K164" t="s">
        <v>616</v>
      </c>
      <c r="L164">
        <v>1348</v>
      </c>
      <c r="N164">
        <v>1009</v>
      </c>
      <c r="O164" t="s">
        <v>72</v>
      </c>
      <c r="P164" t="s">
        <v>72</v>
      </c>
      <c r="Q164">
        <v>1000</v>
      </c>
      <c r="W164">
        <v>0</v>
      </c>
      <c r="X164">
        <v>797358079</v>
      </c>
      <c r="Y164">
        <v>1.6000000000000001E-4</v>
      </c>
      <c r="AA164">
        <v>196978</v>
      </c>
      <c r="AB164">
        <v>0</v>
      </c>
      <c r="AC164">
        <v>0</v>
      </c>
      <c r="AD164">
        <v>0</v>
      </c>
      <c r="AE164">
        <v>29800</v>
      </c>
      <c r="AF164">
        <v>0</v>
      </c>
      <c r="AG164">
        <v>0</v>
      </c>
      <c r="AH164">
        <v>0</v>
      </c>
      <c r="AI164">
        <v>6.61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1.6000000000000001E-4</v>
      </c>
      <c r="AU164" t="s">
        <v>3</v>
      </c>
      <c r="AV164">
        <v>0</v>
      </c>
      <c r="AW164">
        <v>2</v>
      </c>
      <c r="AX164">
        <v>39617617</v>
      </c>
      <c r="AY164">
        <v>1</v>
      </c>
      <c r="AZ164">
        <v>0</v>
      </c>
      <c r="BA164">
        <v>154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Y164*Source!I118</f>
        <v>1.2800000000000001E-5</v>
      </c>
      <c r="CY164">
        <f t="shared" si="12"/>
        <v>196978</v>
      </c>
      <c r="CZ164">
        <f t="shared" si="13"/>
        <v>29800</v>
      </c>
      <c r="DA164">
        <f t="shared" si="14"/>
        <v>6.61</v>
      </c>
      <c r="DB164">
        <v>0</v>
      </c>
    </row>
    <row r="165" spans="1:106" x14ac:dyDescent="0.2">
      <c r="A165">
        <f>ROW(Source!A118)</f>
        <v>118</v>
      </c>
      <c r="B165">
        <v>39616881</v>
      </c>
      <c r="C165">
        <v>39617610</v>
      </c>
      <c r="D165">
        <v>36804944</v>
      </c>
      <c r="E165">
        <v>1</v>
      </c>
      <c r="F165">
        <v>1</v>
      </c>
      <c r="G165">
        <v>1</v>
      </c>
      <c r="H165">
        <v>3</v>
      </c>
      <c r="I165" t="s">
        <v>605</v>
      </c>
      <c r="J165" t="s">
        <v>606</v>
      </c>
      <c r="K165" t="s">
        <v>607</v>
      </c>
      <c r="L165">
        <v>1348</v>
      </c>
      <c r="N165">
        <v>1009</v>
      </c>
      <c r="O165" t="s">
        <v>72</v>
      </c>
      <c r="P165" t="s">
        <v>72</v>
      </c>
      <c r="Q165">
        <v>1000</v>
      </c>
      <c r="W165">
        <v>0</v>
      </c>
      <c r="X165">
        <v>-1755229539</v>
      </c>
      <c r="Y165">
        <v>2.9999999999999997E-4</v>
      </c>
      <c r="AA165">
        <v>82162.3</v>
      </c>
      <c r="AB165">
        <v>0</v>
      </c>
      <c r="AC165">
        <v>0</v>
      </c>
      <c r="AD165">
        <v>0</v>
      </c>
      <c r="AE165">
        <v>12430</v>
      </c>
      <c r="AF165">
        <v>0</v>
      </c>
      <c r="AG165">
        <v>0</v>
      </c>
      <c r="AH165">
        <v>0</v>
      </c>
      <c r="AI165">
        <v>6.61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2.9999999999999997E-4</v>
      </c>
      <c r="AU165" t="s">
        <v>3</v>
      </c>
      <c r="AV165">
        <v>0</v>
      </c>
      <c r="AW165">
        <v>2</v>
      </c>
      <c r="AX165">
        <v>39617618</v>
      </c>
      <c r="AY165">
        <v>1</v>
      </c>
      <c r="AZ165">
        <v>0</v>
      </c>
      <c r="BA165">
        <v>155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Y165*Source!I118</f>
        <v>2.3999999999999997E-5</v>
      </c>
      <c r="CY165">
        <f t="shared" si="12"/>
        <v>82162.3</v>
      </c>
      <c r="CZ165">
        <f t="shared" si="13"/>
        <v>12430</v>
      </c>
      <c r="DA165">
        <f t="shared" si="14"/>
        <v>6.61</v>
      </c>
      <c r="DB165">
        <v>0</v>
      </c>
    </row>
    <row r="166" spans="1:106" x14ac:dyDescent="0.2">
      <c r="A166">
        <f>ROW(Source!A118)</f>
        <v>118</v>
      </c>
      <c r="B166">
        <v>39616881</v>
      </c>
      <c r="C166">
        <v>39617610</v>
      </c>
      <c r="D166">
        <v>36855274</v>
      </c>
      <c r="E166">
        <v>1</v>
      </c>
      <c r="F166">
        <v>1</v>
      </c>
      <c r="G166">
        <v>1</v>
      </c>
      <c r="H166">
        <v>3</v>
      </c>
      <c r="I166" t="s">
        <v>324</v>
      </c>
      <c r="J166" t="s">
        <v>326</v>
      </c>
      <c r="K166" t="s">
        <v>325</v>
      </c>
      <c r="L166">
        <v>1355</v>
      </c>
      <c r="N166">
        <v>1010</v>
      </c>
      <c r="O166" t="s">
        <v>90</v>
      </c>
      <c r="P166" t="s">
        <v>90</v>
      </c>
      <c r="Q166">
        <v>100</v>
      </c>
      <c r="W166">
        <v>0</v>
      </c>
      <c r="X166">
        <v>1266908111</v>
      </c>
      <c r="Y166">
        <v>1</v>
      </c>
      <c r="AA166">
        <v>5942.39</v>
      </c>
      <c r="AB166">
        <v>0</v>
      </c>
      <c r="AC166">
        <v>0</v>
      </c>
      <c r="AD166">
        <v>0</v>
      </c>
      <c r="AE166">
        <v>899</v>
      </c>
      <c r="AF166">
        <v>0</v>
      </c>
      <c r="AG166">
        <v>0</v>
      </c>
      <c r="AH166">
        <v>0</v>
      </c>
      <c r="AI166">
        <v>6.61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1</v>
      </c>
      <c r="AU166" t="s">
        <v>3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Y166*Source!I118</f>
        <v>0.08</v>
      </c>
      <c r="CY166">
        <f t="shared" si="12"/>
        <v>5942.39</v>
      </c>
      <c r="CZ166">
        <f t="shared" si="13"/>
        <v>899</v>
      </c>
      <c r="DA166">
        <f t="shared" si="14"/>
        <v>6.61</v>
      </c>
      <c r="DB166">
        <v>0</v>
      </c>
    </row>
    <row r="167" spans="1:106" x14ac:dyDescent="0.2">
      <c r="A167">
        <f>ROW(Source!A118)</f>
        <v>118</v>
      </c>
      <c r="B167">
        <v>39616881</v>
      </c>
      <c r="C167">
        <v>39617610</v>
      </c>
      <c r="D167">
        <v>36799065</v>
      </c>
      <c r="E167">
        <v>17</v>
      </c>
      <c r="F167">
        <v>1</v>
      </c>
      <c r="G167">
        <v>1</v>
      </c>
      <c r="H167">
        <v>3</v>
      </c>
      <c r="I167" t="s">
        <v>578</v>
      </c>
      <c r="J167" t="s">
        <v>3</v>
      </c>
      <c r="K167" t="s">
        <v>579</v>
      </c>
      <c r="L167">
        <v>1374</v>
      </c>
      <c r="N167">
        <v>1013</v>
      </c>
      <c r="O167" t="s">
        <v>580</v>
      </c>
      <c r="P167" t="s">
        <v>580</v>
      </c>
      <c r="Q167">
        <v>1</v>
      </c>
      <c r="W167">
        <v>0</v>
      </c>
      <c r="X167">
        <v>-1731369543</v>
      </c>
      <c r="Y167">
        <v>6.86</v>
      </c>
      <c r="AA167">
        <v>1</v>
      </c>
      <c r="AB167">
        <v>0</v>
      </c>
      <c r="AC167">
        <v>0</v>
      </c>
      <c r="AD167">
        <v>0</v>
      </c>
      <c r="AE167">
        <v>1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6.86</v>
      </c>
      <c r="AU167" t="s">
        <v>3</v>
      </c>
      <c r="AV167">
        <v>0</v>
      </c>
      <c r="AW167">
        <v>2</v>
      </c>
      <c r="AX167">
        <v>39617619</v>
      </c>
      <c r="AY167">
        <v>1</v>
      </c>
      <c r="AZ167">
        <v>0</v>
      </c>
      <c r="BA167">
        <v>156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Y167*Source!I118</f>
        <v>0.54880000000000007</v>
      </c>
      <c r="CY167">
        <f t="shared" si="12"/>
        <v>1</v>
      </c>
      <c r="CZ167">
        <f t="shared" si="13"/>
        <v>1</v>
      </c>
      <c r="DA167">
        <f t="shared" si="14"/>
        <v>1</v>
      </c>
      <c r="DB167">
        <v>0</v>
      </c>
    </row>
    <row r="168" spans="1:106" x14ac:dyDescent="0.2">
      <c r="A168">
        <f>ROW(Source!A120)</f>
        <v>120</v>
      </c>
      <c r="B168">
        <v>39616881</v>
      </c>
      <c r="C168">
        <v>39617620</v>
      </c>
      <c r="D168">
        <v>37080781</v>
      </c>
      <c r="E168">
        <v>1</v>
      </c>
      <c r="F168">
        <v>1</v>
      </c>
      <c r="G168">
        <v>1</v>
      </c>
      <c r="H168">
        <v>1</v>
      </c>
      <c r="I168" t="s">
        <v>581</v>
      </c>
      <c r="J168" t="s">
        <v>3</v>
      </c>
      <c r="K168" t="s">
        <v>582</v>
      </c>
      <c r="L168">
        <v>1191</v>
      </c>
      <c r="N168">
        <v>1013</v>
      </c>
      <c r="O168" t="s">
        <v>459</v>
      </c>
      <c r="P168" t="s">
        <v>459</v>
      </c>
      <c r="Q168">
        <v>1</v>
      </c>
      <c r="W168">
        <v>0</v>
      </c>
      <c r="X168">
        <v>912892513</v>
      </c>
      <c r="Y168">
        <v>31.6</v>
      </c>
      <c r="AA168">
        <v>0</v>
      </c>
      <c r="AB168">
        <v>0</v>
      </c>
      <c r="AC168">
        <v>0</v>
      </c>
      <c r="AD168">
        <v>65.569999999999993</v>
      </c>
      <c r="AE168">
        <v>0</v>
      </c>
      <c r="AF168">
        <v>0</v>
      </c>
      <c r="AG168">
        <v>0</v>
      </c>
      <c r="AH168">
        <v>9.92</v>
      </c>
      <c r="AI168">
        <v>1</v>
      </c>
      <c r="AJ168">
        <v>1</v>
      </c>
      <c r="AK168">
        <v>1</v>
      </c>
      <c r="AL168">
        <v>6.61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31.6</v>
      </c>
      <c r="AU168" t="s">
        <v>3</v>
      </c>
      <c r="AV168">
        <v>1</v>
      </c>
      <c r="AW168">
        <v>2</v>
      </c>
      <c r="AX168">
        <v>39617621</v>
      </c>
      <c r="AY168">
        <v>1</v>
      </c>
      <c r="AZ168">
        <v>0</v>
      </c>
      <c r="BA168">
        <v>157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Y168*Source!I120</f>
        <v>1.8959999999999999</v>
      </c>
      <c r="CY168">
        <f>AD168</f>
        <v>65.569999999999993</v>
      </c>
      <c r="CZ168">
        <f>AH168</f>
        <v>9.92</v>
      </c>
      <c r="DA168">
        <f>AL168</f>
        <v>6.61</v>
      </c>
      <c r="DB168">
        <v>0</v>
      </c>
    </row>
    <row r="169" spans="1:106" x14ac:dyDescent="0.2">
      <c r="A169">
        <f>ROW(Source!A120)</f>
        <v>120</v>
      </c>
      <c r="B169">
        <v>39616881</v>
      </c>
      <c r="C169">
        <v>39617620</v>
      </c>
      <c r="D169">
        <v>37064876</v>
      </c>
      <c r="E169">
        <v>1</v>
      </c>
      <c r="F169">
        <v>1</v>
      </c>
      <c r="G169">
        <v>1</v>
      </c>
      <c r="H169">
        <v>1</v>
      </c>
      <c r="I169" t="s">
        <v>460</v>
      </c>
      <c r="J169" t="s">
        <v>3</v>
      </c>
      <c r="K169" t="s">
        <v>461</v>
      </c>
      <c r="L169">
        <v>1191</v>
      </c>
      <c r="N169">
        <v>1013</v>
      </c>
      <c r="O169" t="s">
        <v>459</v>
      </c>
      <c r="P169" t="s">
        <v>459</v>
      </c>
      <c r="Q169">
        <v>1</v>
      </c>
      <c r="W169">
        <v>0</v>
      </c>
      <c r="X169">
        <v>-1417349443</v>
      </c>
      <c r="Y169">
        <v>0.05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6.61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0.05</v>
      </c>
      <c r="AU169" t="s">
        <v>3</v>
      </c>
      <c r="AV169">
        <v>2</v>
      </c>
      <c r="AW169">
        <v>2</v>
      </c>
      <c r="AX169">
        <v>39617622</v>
      </c>
      <c r="AY169">
        <v>1</v>
      </c>
      <c r="AZ169">
        <v>0</v>
      </c>
      <c r="BA169">
        <v>158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Y169*Source!I120</f>
        <v>3.0000000000000001E-3</v>
      </c>
      <c r="CY169">
        <f>AD169</f>
        <v>0</v>
      </c>
      <c r="CZ169">
        <f>AH169</f>
        <v>0</v>
      </c>
      <c r="DA169">
        <f>AL169</f>
        <v>1</v>
      </c>
      <c r="DB169">
        <v>0</v>
      </c>
    </row>
    <row r="170" spans="1:106" x14ac:dyDescent="0.2">
      <c r="A170">
        <f>ROW(Source!A120)</f>
        <v>120</v>
      </c>
      <c r="B170">
        <v>39616881</v>
      </c>
      <c r="C170">
        <v>39617620</v>
      </c>
      <c r="D170">
        <v>36882159</v>
      </c>
      <c r="E170">
        <v>1</v>
      </c>
      <c r="F170">
        <v>1</v>
      </c>
      <c r="G170">
        <v>1</v>
      </c>
      <c r="H170">
        <v>2</v>
      </c>
      <c r="I170" t="s">
        <v>566</v>
      </c>
      <c r="J170" t="s">
        <v>567</v>
      </c>
      <c r="K170" t="s">
        <v>568</v>
      </c>
      <c r="L170">
        <v>1368</v>
      </c>
      <c r="N170">
        <v>1011</v>
      </c>
      <c r="O170" t="s">
        <v>465</v>
      </c>
      <c r="P170" t="s">
        <v>465</v>
      </c>
      <c r="Q170">
        <v>1</v>
      </c>
      <c r="W170">
        <v>0</v>
      </c>
      <c r="X170">
        <v>-1718674368</v>
      </c>
      <c r="Y170">
        <v>0.03</v>
      </c>
      <c r="AA170">
        <v>0</v>
      </c>
      <c r="AB170">
        <v>740.25</v>
      </c>
      <c r="AC170">
        <v>13.5</v>
      </c>
      <c r="AD170">
        <v>0</v>
      </c>
      <c r="AE170">
        <v>0</v>
      </c>
      <c r="AF170">
        <v>111.99</v>
      </c>
      <c r="AG170">
        <v>13.5</v>
      </c>
      <c r="AH170">
        <v>0</v>
      </c>
      <c r="AI170">
        <v>1</v>
      </c>
      <c r="AJ170">
        <v>6.61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0.03</v>
      </c>
      <c r="AU170" t="s">
        <v>3</v>
      </c>
      <c r="AV170">
        <v>0</v>
      </c>
      <c r="AW170">
        <v>2</v>
      </c>
      <c r="AX170">
        <v>39617623</v>
      </c>
      <c r="AY170">
        <v>1</v>
      </c>
      <c r="AZ170">
        <v>0</v>
      </c>
      <c r="BA170">
        <v>159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Y170*Source!I120</f>
        <v>1.8E-3</v>
      </c>
      <c r="CY170">
        <f>AB170</f>
        <v>740.25</v>
      </c>
      <c r="CZ170">
        <f>AF170</f>
        <v>111.99</v>
      </c>
      <c r="DA170">
        <f>AJ170</f>
        <v>6.61</v>
      </c>
      <c r="DB170">
        <v>0</v>
      </c>
    </row>
    <row r="171" spans="1:106" x14ac:dyDescent="0.2">
      <c r="A171">
        <f>ROW(Source!A120)</f>
        <v>120</v>
      </c>
      <c r="B171">
        <v>39616881</v>
      </c>
      <c r="C171">
        <v>39617620</v>
      </c>
      <c r="D171">
        <v>36883554</v>
      </c>
      <c r="E171">
        <v>1</v>
      </c>
      <c r="F171">
        <v>1</v>
      </c>
      <c r="G171">
        <v>1</v>
      </c>
      <c r="H171">
        <v>2</v>
      </c>
      <c r="I171" t="s">
        <v>468</v>
      </c>
      <c r="J171" t="s">
        <v>469</v>
      </c>
      <c r="K171" t="s">
        <v>470</v>
      </c>
      <c r="L171">
        <v>1368</v>
      </c>
      <c r="N171">
        <v>1011</v>
      </c>
      <c r="O171" t="s">
        <v>465</v>
      </c>
      <c r="P171" t="s">
        <v>465</v>
      </c>
      <c r="Q171">
        <v>1</v>
      </c>
      <c r="W171">
        <v>0</v>
      </c>
      <c r="X171">
        <v>1372534845</v>
      </c>
      <c r="Y171">
        <v>0.02</v>
      </c>
      <c r="AA171">
        <v>0</v>
      </c>
      <c r="AB171">
        <v>434.34</v>
      </c>
      <c r="AC171">
        <v>11.6</v>
      </c>
      <c r="AD171">
        <v>0</v>
      </c>
      <c r="AE171">
        <v>0</v>
      </c>
      <c r="AF171">
        <v>65.709999999999994</v>
      </c>
      <c r="AG171">
        <v>11.6</v>
      </c>
      <c r="AH171">
        <v>0</v>
      </c>
      <c r="AI171">
        <v>1</v>
      </c>
      <c r="AJ171">
        <v>6.61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0.02</v>
      </c>
      <c r="AU171" t="s">
        <v>3</v>
      </c>
      <c r="AV171">
        <v>0</v>
      </c>
      <c r="AW171">
        <v>2</v>
      </c>
      <c r="AX171">
        <v>39617624</v>
      </c>
      <c r="AY171">
        <v>1</v>
      </c>
      <c r="AZ171">
        <v>0</v>
      </c>
      <c r="BA171">
        <v>160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Y171*Source!I120</f>
        <v>1.1999999999999999E-3</v>
      </c>
      <c r="CY171">
        <f>AB171</f>
        <v>434.34</v>
      </c>
      <c r="CZ171">
        <f>AF171</f>
        <v>65.709999999999994</v>
      </c>
      <c r="DA171">
        <f>AJ171</f>
        <v>6.61</v>
      </c>
      <c r="DB171">
        <v>0</v>
      </c>
    </row>
    <row r="172" spans="1:106" x14ac:dyDescent="0.2">
      <c r="A172">
        <f>ROW(Source!A120)</f>
        <v>120</v>
      </c>
      <c r="B172">
        <v>39616881</v>
      </c>
      <c r="C172">
        <v>39617620</v>
      </c>
      <c r="D172">
        <v>36802094</v>
      </c>
      <c r="E172">
        <v>1</v>
      </c>
      <c r="F172">
        <v>1</v>
      </c>
      <c r="G172">
        <v>1</v>
      </c>
      <c r="H172">
        <v>3</v>
      </c>
      <c r="I172" t="s">
        <v>569</v>
      </c>
      <c r="J172" t="s">
        <v>570</v>
      </c>
      <c r="K172" t="s">
        <v>571</v>
      </c>
      <c r="L172">
        <v>1346</v>
      </c>
      <c r="N172">
        <v>1009</v>
      </c>
      <c r="O172" t="s">
        <v>77</v>
      </c>
      <c r="P172" t="s">
        <v>77</v>
      </c>
      <c r="Q172">
        <v>1</v>
      </c>
      <c r="W172">
        <v>0</v>
      </c>
      <c r="X172">
        <v>-1088866022</v>
      </c>
      <c r="Y172">
        <v>0.11</v>
      </c>
      <c r="AA172">
        <v>200.94</v>
      </c>
      <c r="AB172">
        <v>0</v>
      </c>
      <c r="AC172">
        <v>0</v>
      </c>
      <c r="AD172">
        <v>0</v>
      </c>
      <c r="AE172">
        <v>30.4</v>
      </c>
      <c r="AF172">
        <v>0</v>
      </c>
      <c r="AG172">
        <v>0</v>
      </c>
      <c r="AH172">
        <v>0</v>
      </c>
      <c r="AI172">
        <v>6.61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0.11</v>
      </c>
      <c r="AU172" t="s">
        <v>3</v>
      </c>
      <c r="AV172">
        <v>0</v>
      </c>
      <c r="AW172">
        <v>2</v>
      </c>
      <c r="AX172">
        <v>39617625</v>
      </c>
      <c r="AY172">
        <v>1</v>
      </c>
      <c r="AZ172">
        <v>0</v>
      </c>
      <c r="BA172">
        <v>161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Y172*Source!I120</f>
        <v>6.6E-3</v>
      </c>
      <c r="CY172">
        <f t="shared" ref="CY172:CY177" si="15">AA172</f>
        <v>200.94</v>
      </c>
      <c r="CZ172">
        <f t="shared" ref="CZ172:CZ177" si="16">AE172</f>
        <v>30.4</v>
      </c>
      <c r="DA172">
        <f t="shared" ref="DA172:DA177" si="17">AI172</f>
        <v>6.61</v>
      </c>
      <c r="DB172">
        <v>0</v>
      </c>
    </row>
    <row r="173" spans="1:106" x14ac:dyDescent="0.2">
      <c r="A173">
        <f>ROW(Source!A120)</f>
        <v>120</v>
      </c>
      <c r="B173">
        <v>39616881</v>
      </c>
      <c r="C173">
        <v>39617620</v>
      </c>
      <c r="D173">
        <v>36804580</v>
      </c>
      <c r="E173">
        <v>1</v>
      </c>
      <c r="F173">
        <v>1</v>
      </c>
      <c r="G173">
        <v>1</v>
      </c>
      <c r="H173">
        <v>3</v>
      </c>
      <c r="I173" t="s">
        <v>611</v>
      </c>
      <c r="J173" t="s">
        <v>612</v>
      </c>
      <c r="K173" t="s">
        <v>613</v>
      </c>
      <c r="L173">
        <v>1355</v>
      </c>
      <c r="N173">
        <v>1010</v>
      </c>
      <c r="O173" t="s">
        <v>90</v>
      </c>
      <c r="P173" t="s">
        <v>90</v>
      </c>
      <c r="Q173">
        <v>100</v>
      </c>
      <c r="W173">
        <v>0</v>
      </c>
      <c r="X173">
        <v>1794244060</v>
      </c>
      <c r="Y173">
        <v>1.02</v>
      </c>
      <c r="AA173">
        <v>568.46</v>
      </c>
      <c r="AB173">
        <v>0</v>
      </c>
      <c r="AC173">
        <v>0</v>
      </c>
      <c r="AD173">
        <v>0</v>
      </c>
      <c r="AE173">
        <v>86</v>
      </c>
      <c r="AF173">
        <v>0</v>
      </c>
      <c r="AG173">
        <v>0</v>
      </c>
      <c r="AH173">
        <v>0</v>
      </c>
      <c r="AI173">
        <v>6.61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1.02</v>
      </c>
      <c r="AU173" t="s">
        <v>3</v>
      </c>
      <c r="AV173">
        <v>0</v>
      </c>
      <c r="AW173">
        <v>2</v>
      </c>
      <c r="AX173">
        <v>39617626</v>
      </c>
      <c r="AY173">
        <v>1</v>
      </c>
      <c r="AZ173">
        <v>0</v>
      </c>
      <c r="BA173">
        <v>162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Y173*Source!I120</f>
        <v>6.1199999999999997E-2</v>
      </c>
      <c r="CY173">
        <f t="shared" si="15"/>
        <v>568.46</v>
      </c>
      <c r="CZ173">
        <f t="shared" si="16"/>
        <v>86</v>
      </c>
      <c r="DA173">
        <f t="shared" si="17"/>
        <v>6.61</v>
      </c>
      <c r="DB173">
        <v>0</v>
      </c>
    </row>
    <row r="174" spans="1:106" x14ac:dyDescent="0.2">
      <c r="A174">
        <f>ROW(Source!A120)</f>
        <v>120</v>
      </c>
      <c r="B174">
        <v>39616881</v>
      </c>
      <c r="C174">
        <v>39617620</v>
      </c>
      <c r="D174">
        <v>36804940</v>
      </c>
      <c r="E174">
        <v>1</v>
      </c>
      <c r="F174">
        <v>1</v>
      </c>
      <c r="G174">
        <v>1</v>
      </c>
      <c r="H174">
        <v>3</v>
      </c>
      <c r="I174" t="s">
        <v>614</v>
      </c>
      <c r="J174" t="s">
        <v>615</v>
      </c>
      <c r="K174" t="s">
        <v>616</v>
      </c>
      <c r="L174">
        <v>1348</v>
      </c>
      <c r="N174">
        <v>1009</v>
      </c>
      <c r="O174" t="s">
        <v>72</v>
      </c>
      <c r="P174" t="s">
        <v>72</v>
      </c>
      <c r="Q174">
        <v>1000</v>
      </c>
      <c r="W174">
        <v>0</v>
      </c>
      <c r="X174">
        <v>797358079</v>
      </c>
      <c r="Y174">
        <v>1.6000000000000001E-4</v>
      </c>
      <c r="AA174">
        <v>196978</v>
      </c>
      <c r="AB174">
        <v>0</v>
      </c>
      <c r="AC174">
        <v>0</v>
      </c>
      <c r="AD174">
        <v>0</v>
      </c>
      <c r="AE174">
        <v>29800</v>
      </c>
      <c r="AF174">
        <v>0</v>
      </c>
      <c r="AG174">
        <v>0</v>
      </c>
      <c r="AH174">
        <v>0</v>
      </c>
      <c r="AI174">
        <v>6.61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1.6000000000000001E-4</v>
      </c>
      <c r="AU174" t="s">
        <v>3</v>
      </c>
      <c r="AV174">
        <v>0</v>
      </c>
      <c r="AW174">
        <v>2</v>
      </c>
      <c r="AX174">
        <v>39617627</v>
      </c>
      <c r="AY174">
        <v>1</v>
      </c>
      <c r="AZ174">
        <v>0</v>
      </c>
      <c r="BA174">
        <v>163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Y174*Source!I120</f>
        <v>9.6000000000000013E-6</v>
      </c>
      <c r="CY174">
        <f t="shared" si="15"/>
        <v>196978</v>
      </c>
      <c r="CZ174">
        <f t="shared" si="16"/>
        <v>29800</v>
      </c>
      <c r="DA174">
        <f t="shared" si="17"/>
        <v>6.61</v>
      </c>
      <c r="DB174">
        <v>0</v>
      </c>
    </row>
    <row r="175" spans="1:106" x14ac:dyDescent="0.2">
      <c r="A175">
        <f>ROW(Source!A120)</f>
        <v>120</v>
      </c>
      <c r="B175">
        <v>39616881</v>
      </c>
      <c r="C175">
        <v>39617620</v>
      </c>
      <c r="D175">
        <v>36804944</v>
      </c>
      <c r="E175">
        <v>1</v>
      </c>
      <c r="F175">
        <v>1</v>
      </c>
      <c r="G175">
        <v>1</v>
      </c>
      <c r="H175">
        <v>3</v>
      </c>
      <c r="I175" t="s">
        <v>605</v>
      </c>
      <c r="J175" t="s">
        <v>606</v>
      </c>
      <c r="K175" t="s">
        <v>607</v>
      </c>
      <c r="L175">
        <v>1348</v>
      </c>
      <c r="N175">
        <v>1009</v>
      </c>
      <c r="O175" t="s">
        <v>72</v>
      </c>
      <c r="P175" t="s">
        <v>72</v>
      </c>
      <c r="Q175">
        <v>1000</v>
      </c>
      <c r="W175">
        <v>0</v>
      </c>
      <c r="X175">
        <v>-1755229539</v>
      </c>
      <c r="Y175">
        <v>2.9999999999999997E-4</v>
      </c>
      <c r="AA175">
        <v>82162.3</v>
      </c>
      <c r="AB175">
        <v>0</v>
      </c>
      <c r="AC175">
        <v>0</v>
      </c>
      <c r="AD175">
        <v>0</v>
      </c>
      <c r="AE175">
        <v>12430</v>
      </c>
      <c r="AF175">
        <v>0</v>
      </c>
      <c r="AG175">
        <v>0</v>
      </c>
      <c r="AH175">
        <v>0</v>
      </c>
      <c r="AI175">
        <v>6.61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2.9999999999999997E-4</v>
      </c>
      <c r="AU175" t="s">
        <v>3</v>
      </c>
      <c r="AV175">
        <v>0</v>
      </c>
      <c r="AW175">
        <v>2</v>
      </c>
      <c r="AX175">
        <v>39617628</v>
      </c>
      <c r="AY175">
        <v>1</v>
      </c>
      <c r="AZ175">
        <v>0</v>
      </c>
      <c r="BA175">
        <v>164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Y175*Source!I120</f>
        <v>1.7999999999999997E-5</v>
      </c>
      <c r="CY175">
        <f t="shared" si="15"/>
        <v>82162.3</v>
      </c>
      <c r="CZ175">
        <f t="shared" si="16"/>
        <v>12430</v>
      </c>
      <c r="DA175">
        <f t="shared" si="17"/>
        <v>6.61</v>
      </c>
      <c r="DB175">
        <v>0</v>
      </c>
    </row>
    <row r="176" spans="1:106" x14ac:dyDescent="0.2">
      <c r="A176">
        <f>ROW(Source!A120)</f>
        <v>120</v>
      </c>
      <c r="B176">
        <v>39616881</v>
      </c>
      <c r="C176">
        <v>39617620</v>
      </c>
      <c r="D176">
        <v>36855061</v>
      </c>
      <c r="E176">
        <v>1</v>
      </c>
      <c r="F176">
        <v>1</v>
      </c>
      <c r="G176">
        <v>1</v>
      </c>
      <c r="H176">
        <v>3</v>
      </c>
      <c r="I176" t="s">
        <v>332</v>
      </c>
      <c r="J176" t="s">
        <v>335</v>
      </c>
      <c r="K176" t="s">
        <v>333</v>
      </c>
      <c r="L176">
        <v>1358</v>
      </c>
      <c r="N176">
        <v>1010</v>
      </c>
      <c r="O176" t="s">
        <v>334</v>
      </c>
      <c r="P176" t="s">
        <v>334</v>
      </c>
      <c r="Q176">
        <v>10</v>
      </c>
      <c r="W176">
        <v>0</v>
      </c>
      <c r="X176">
        <v>-1345639916</v>
      </c>
      <c r="Y176">
        <v>10</v>
      </c>
      <c r="AA176">
        <v>635.88</v>
      </c>
      <c r="AB176">
        <v>0</v>
      </c>
      <c r="AC176">
        <v>0</v>
      </c>
      <c r="AD176">
        <v>0</v>
      </c>
      <c r="AE176">
        <v>96.2</v>
      </c>
      <c r="AF176">
        <v>0</v>
      </c>
      <c r="AG176">
        <v>0</v>
      </c>
      <c r="AH176">
        <v>0</v>
      </c>
      <c r="AI176">
        <v>6.61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3</v>
      </c>
      <c r="AT176">
        <v>10</v>
      </c>
      <c r="AU176" t="s">
        <v>3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Y176*Source!I120</f>
        <v>0.6</v>
      </c>
      <c r="CY176">
        <f t="shared" si="15"/>
        <v>635.88</v>
      </c>
      <c r="CZ176">
        <f t="shared" si="16"/>
        <v>96.2</v>
      </c>
      <c r="DA176">
        <f t="shared" si="17"/>
        <v>6.61</v>
      </c>
      <c r="DB176">
        <v>0</v>
      </c>
    </row>
    <row r="177" spans="1:106" x14ac:dyDescent="0.2">
      <c r="A177">
        <f>ROW(Source!A120)</f>
        <v>120</v>
      </c>
      <c r="B177">
        <v>39616881</v>
      </c>
      <c r="C177">
        <v>39617620</v>
      </c>
      <c r="D177">
        <v>36799065</v>
      </c>
      <c r="E177">
        <v>17</v>
      </c>
      <c r="F177">
        <v>1</v>
      </c>
      <c r="G177">
        <v>1</v>
      </c>
      <c r="H177">
        <v>3</v>
      </c>
      <c r="I177" t="s">
        <v>578</v>
      </c>
      <c r="J177" t="s">
        <v>3</v>
      </c>
      <c r="K177" t="s">
        <v>579</v>
      </c>
      <c r="L177">
        <v>1374</v>
      </c>
      <c r="N177">
        <v>1013</v>
      </c>
      <c r="O177" t="s">
        <v>580</v>
      </c>
      <c r="P177" t="s">
        <v>580</v>
      </c>
      <c r="Q177">
        <v>1</v>
      </c>
      <c r="W177">
        <v>0</v>
      </c>
      <c r="X177">
        <v>-1731369543</v>
      </c>
      <c r="Y177">
        <v>6.27</v>
      </c>
      <c r="AA177">
        <v>1</v>
      </c>
      <c r="AB177">
        <v>0</v>
      </c>
      <c r="AC177">
        <v>0</v>
      </c>
      <c r="AD177">
        <v>0</v>
      </c>
      <c r="AE177">
        <v>1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6.27</v>
      </c>
      <c r="AU177" t="s">
        <v>3</v>
      </c>
      <c r="AV177">
        <v>0</v>
      </c>
      <c r="AW177">
        <v>2</v>
      </c>
      <c r="AX177">
        <v>39617629</v>
      </c>
      <c r="AY177">
        <v>1</v>
      </c>
      <c r="AZ177">
        <v>0</v>
      </c>
      <c r="BA177">
        <v>165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Y177*Source!I120</f>
        <v>0.37619999999999998</v>
      </c>
      <c r="CY177">
        <f t="shared" si="15"/>
        <v>1</v>
      </c>
      <c r="CZ177">
        <f t="shared" si="16"/>
        <v>1</v>
      </c>
      <c r="DA177">
        <f t="shared" si="17"/>
        <v>1</v>
      </c>
      <c r="DB177">
        <v>0</v>
      </c>
    </row>
    <row r="178" spans="1:106" x14ac:dyDescent="0.2">
      <c r="A178">
        <f>ROW(Source!A122)</f>
        <v>122</v>
      </c>
      <c r="B178">
        <v>39616881</v>
      </c>
      <c r="C178">
        <v>39617630</v>
      </c>
      <c r="D178">
        <v>37077359</v>
      </c>
      <c r="E178">
        <v>1</v>
      </c>
      <c r="F178">
        <v>1</v>
      </c>
      <c r="G178">
        <v>1</v>
      </c>
      <c r="H178">
        <v>1</v>
      </c>
      <c r="I178" t="s">
        <v>564</v>
      </c>
      <c r="J178" t="s">
        <v>3</v>
      </c>
      <c r="K178" t="s">
        <v>565</v>
      </c>
      <c r="L178">
        <v>1191</v>
      </c>
      <c r="N178">
        <v>1013</v>
      </c>
      <c r="O178" t="s">
        <v>459</v>
      </c>
      <c r="P178" t="s">
        <v>459</v>
      </c>
      <c r="Q178">
        <v>1</v>
      </c>
      <c r="W178">
        <v>0</v>
      </c>
      <c r="X178">
        <v>-362667798</v>
      </c>
      <c r="Y178">
        <v>0.9</v>
      </c>
      <c r="AA178">
        <v>0</v>
      </c>
      <c r="AB178">
        <v>0</v>
      </c>
      <c r="AC178">
        <v>0</v>
      </c>
      <c r="AD178">
        <v>69.41</v>
      </c>
      <c r="AE178">
        <v>0</v>
      </c>
      <c r="AF178">
        <v>0</v>
      </c>
      <c r="AG178">
        <v>0</v>
      </c>
      <c r="AH178">
        <v>10.5</v>
      </c>
      <c r="AI178">
        <v>1</v>
      </c>
      <c r="AJ178">
        <v>1</v>
      </c>
      <c r="AK178">
        <v>1</v>
      </c>
      <c r="AL178">
        <v>6.61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0.9</v>
      </c>
      <c r="AU178" t="s">
        <v>3</v>
      </c>
      <c r="AV178">
        <v>1</v>
      </c>
      <c r="AW178">
        <v>2</v>
      </c>
      <c r="AX178">
        <v>39617631</v>
      </c>
      <c r="AY178">
        <v>1</v>
      </c>
      <c r="AZ178">
        <v>0</v>
      </c>
      <c r="BA178">
        <v>166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Y178*Source!I122</f>
        <v>0.9</v>
      </c>
      <c r="CY178">
        <f>AD178</f>
        <v>69.41</v>
      </c>
      <c r="CZ178">
        <f>AH178</f>
        <v>10.5</v>
      </c>
      <c r="DA178">
        <f>AL178</f>
        <v>6.61</v>
      </c>
      <c r="DB178">
        <v>0</v>
      </c>
    </row>
    <row r="179" spans="1:106" x14ac:dyDescent="0.2">
      <c r="A179">
        <f>ROW(Source!A122)</f>
        <v>122</v>
      </c>
      <c r="B179">
        <v>39616881</v>
      </c>
      <c r="C179">
        <v>39617630</v>
      </c>
      <c r="D179">
        <v>37064876</v>
      </c>
      <c r="E179">
        <v>1</v>
      </c>
      <c r="F179">
        <v>1</v>
      </c>
      <c r="G179">
        <v>1</v>
      </c>
      <c r="H179">
        <v>1</v>
      </c>
      <c r="I179" t="s">
        <v>460</v>
      </c>
      <c r="J179" t="s">
        <v>3</v>
      </c>
      <c r="K179" t="s">
        <v>461</v>
      </c>
      <c r="L179">
        <v>1191</v>
      </c>
      <c r="N179">
        <v>1013</v>
      </c>
      <c r="O179" t="s">
        <v>459</v>
      </c>
      <c r="P179" t="s">
        <v>459</v>
      </c>
      <c r="Q179">
        <v>1</v>
      </c>
      <c r="W179">
        <v>0</v>
      </c>
      <c r="X179">
        <v>-1417349443</v>
      </c>
      <c r="Y179">
        <v>0.2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6.61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0.2</v>
      </c>
      <c r="AU179" t="s">
        <v>3</v>
      </c>
      <c r="AV179">
        <v>2</v>
      </c>
      <c r="AW179">
        <v>2</v>
      </c>
      <c r="AX179">
        <v>39617632</v>
      </c>
      <c r="AY179">
        <v>1</v>
      </c>
      <c r="AZ179">
        <v>0</v>
      </c>
      <c r="BA179">
        <v>167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Y179*Source!I122</f>
        <v>0.2</v>
      </c>
      <c r="CY179">
        <f>AD179</f>
        <v>0</v>
      </c>
      <c r="CZ179">
        <f>AH179</f>
        <v>0</v>
      </c>
      <c r="DA179">
        <f>AL179</f>
        <v>1</v>
      </c>
      <c r="DB179">
        <v>0</v>
      </c>
    </row>
    <row r="180" spans="1:106" x14ac:dyDescent="0.2">
      <c r="A180">
        <f>ROW(Source!A122)</f>
        <v>122</v>
      </c>
      <c r="B180">
        <v>39616881</v>
      </c>
      <c r="C180">
        <v>39617630</v>
      </c>
      <c r="D180">
        <v>36882159</v>
      </c>
      <c r="E180">
        <v>1</v>
      </c>
      <c r="F180">
        <v>1</v>
      </c>
      <c r="G180">
        <v>1</v>
      </c>
      <c r="H180">
        <v>2</v>
      </c>
      <c r="I180" t="s">
        <v>566</v>
      </c>
      <c r="J180" t="s">
        <v>567</v>
      </c>
      <c r="K180" t="s">
        <v>568</v>
      </c>
      <c r="L180">
        <v>1368</v>
      </c>
      <c r="N180">
        <v>1011</v>
      </c>
      <c r="O180" t="s">
        <v>465</v>
      </c>
      <c r="P180" t="s">
        <v>465</v>
      </c>
      <c r="Q180">
        <v>1</v>
      </c>
      <c r="W180">
        <v>0</v>
      </c>
      <c r="X180">
        <v>-1718674368</v>
      </c>
      <c r="Y180">
        <v>0.1</v>
      </c>
      <c r="AA180">
        <v>0</v>
      </c>
      <c r="AB180">
        <v>740.25</v>
      </c>
      <c r="AC180">
        <v>13.5</v>
      </c>
      <c r="AD180">
        <v>0</v>
      </c>
      <c r="AE180">
        <v>0</v>
      </c>
      <c r="AF180">
        <v>111.99</v>
      </c>
      <c r="AG180">
        <v>13.5</v>
      </c>
      <c r="AH180">
        <v>0</v>
      </c>
      <c r="AI180">
        <v>1</v>
      </c>
      <c r="AJ180">
        <v>6.61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0.1</v>
      </c>
      <c r="AU180" t="s">
        <v>3</v>
      </c>
      <c r="AV180">
        <v>0</v>
      </c>
      <c r="AW180">
        <v>2</v>
      </c>
      <c r="AX180">
        <v>39617633</v>
      </c>
      <c r="AY180">
        <v>1</v>
      </c>
      <c r="AZ180">
        <v>0</v>
      </c>
      <c r="BA180">
        <v>168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Y180*Source!I122</f>
        <v>0.1</v>
      </c>
      <c r="CY180">
        <f>AB180</f>
        <v>740.25</v>
      </c>
      <c r="CZ180">
        <f>AF180</f>
        <v>111.99</v>
      </c>
      <c r="DA180">
        <f>AJ180</f>
        <v>6.61</v>
      </c>
      <c r="DB180">
        <v>0</v>
      </c>
    </row>
    <row r="181" spans="1:106" x14ac:dyDescent="0.2">
      <c r="A181">
        <f>ROW(Source!A122)</f>
        <v>122</v>
      </c>
      <c r="B181">
        <v>39616881</v>
      </c>
      <c r="C181">
        <v>39617630</v>
      </c>
      <c r="D181">
        <v>36883554</v>
      </c>
      <c r="E181">
        <v>1</v>
      </c>
      <c r="F181">
        <v>1</v>
      </c>
      <c r="G181">
        <v>1</v>
      </c>
      <c r="H181">
        <v>2</v>
      </c>
      <c r="I181" t="s">
        <v>468</v>
      </c>
      <c r="J181" t="s">
        <v>469</v>
      </c>
      <c r="K181" t="s">
        <v>470</v>
      </c>
      <c r="L181">
        <v>1368</v>
      </c>
      <c r="N181">
        <v>1011</v>
      </c>
      <c r="O181" t="s">
        <v>465</v>
      </c>
      <c r="P181" t="s">
        <v>465</v>
      </c>
      <c r="Q181">
        <v>1</v>
      </c>
      <c r="W181">
        <v>0</v>
      </c>
      <c r="X181">
        <v>1372534845</v>
      </c>
      <c r="Y181">
        <v>0.1</v>
      </c>
      <c r="AA181">
        <v>0</v>
      </c>
      <c r="AB181">
        <v>434.34</v>
      </c>
      <c r="AC181">
        <v>11.6</v>
      </c>
      <c r="AD181">
        <v>0</v>
      </c>
      <c r="AE181">
        <v>0</v>
      </c>
      <c r="AF181">
        <v>65.709999999999994</v>
      </c>
      <c r="AG181">
        <v>11.6</v>
      </c>
      <c r="AH181">
        <v>0</v>
      </c>
      <c r="AI181">
        <v>1</v>
      </c>
      <c r="AJ181">
        <v>6.61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0.1</v>
      </c>
      <c r="AU181" t="s">
        <v>3</v>
      </c>
      <c r="AV181">
        <v>0</v>
      </c>
      <c r="AW181">
        <v>2</v>
      </c>
      <c r="AX181">
        <v>39617634</v>
      </c>
      <c r="AY181">
        <v>1</v>
      </c>
      <c r="AZ181">
        <v>0</v>
      </c>
      <c r="BA181">
        <v>169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Y181*Source!I122</f>
        <v>0.1</v>
      </c>
      <c r="CY181">
        <f>AB181</f>
        <v>434.34</v>
      </c>
      <c r="CZ181">
        <f>AF181</f>
        <v>65.709999999999994</v>
      </c>
      <c r="DA181">
        <f>AJ181</f>
        <v>6.61</v>
      </c>
      <c r="DB181">
        <v>0</v>
      </c>
    </row>
    <row r="182" spans="1:106" x14ac:dyDescent="0.2">
      <c r="A182">
        <f>ROW(Source!A122)</f>
        <v>122</v>
      </c>
      <c r="B182">
        <v>39616881</v>
      </c>
      <c r="C182">
        <v>39617630</v>
      </c>
      <c r="D182">
        <v>36802094</v>
      </c>
      <c r="E182">
        <v>1</v>
      </c>
      <c r="F182">
        <v>1</v>
      </c>
      <c r="G182">
        <v>1</v>
      </c>
      <c r="H182">
        <v>3</v>
      </c>
      <c r="I182" t="s">
        <v>569</v>
      </c>
      <c r="J182" t="s">
        <v>570</v>
      </c>
      <c r="K182" t="s">
        <v>571</v>
      </c>
      <c r="L182">
        <v>1346</v>
      </c>
      <c r="N182">
        <v>1009</v>
      </c>
      <c r="O182" t="s">
        <v>77</v>
      </c>
      <c r="P182" t="s">
        <v>77</v>
      </c>
      <c r="Q182">
        <v>1</v>
      </c>
      <c r="W182">
        <v>0</v>
      </c>
      <c r="X182">
        <v>-1088866022</v>
      </c>
      <c r="Y182">
        <v>0.01</v>
      </c>
      <c r="AA182">
        <v>200.94</v>
      </c>
      <c r="AB182">
        <v>0</v>
      </c>
      <c r="AC182">
        <v>0</v>
      </c>
      <c r="AD182">
        <v>0</v>
      </c>
      <c r="AE182">
        <v>30.4</v>
      </c>
      <c r="AF182">
        <v>0</v>
      </c>
      <c r="AG182">
        <v>0</v>
      </c>
      <c r="AH182">
        <v>0</v>
      </c>
      <c r="AI182">
        <v>6.61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0.01</v>
      </c>
      <c r="AU182" t="s">
        <v>3</v>
      </c>
      <c r="AV182">
        <v>0</v>
      </c>
      <c r="AW182">
        <v>2</v>
      </c>
      <c r="AX182">
        <v>39617635</v>
      </c>
      <c r="AY182">
        <v>1</v>
      </c>
      <c r="AZ182">
        <v>0</v>
      </c>
      <c r="BA182">
        <v>170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Y182*Source!I122</f>
        <v>0.01</v>
      </c>
      <c r="CY182">
        <f>AA182</f>
        <v>200.94</v>
      </c>
      <c r="CZ182">
        <f>AE182</f>
        <v>30.4</v>
      </c>
      <c r="DA182">
        <f>AI182</f>
        <v>6.61</v>
      </c>
      <c r="DB182">
        <v>0</v>
      </c>
    </row>
    <row r="183" spans="1:106" x14ac:dyDescent="0.2">
      <c r="A183">
        <f>ROW(Source!A122)</f>
        <v>122</v>
      </c>
      <c r="B183">
        <v>39616881</v>
      </c>
      <c r="C183">
        <v>39617630</v>
      </c>
      <c r="D183">
        <v>36804448</v>
      </c>
      <c r="E183">
        <v>1</v>
      </c>
      <c r="F183">
        <v>1</v>
      </c>
      <c r="G183">
        <v>1</v>
      </c>
      <c r="H183">
        <v>3</v>
      </c>
      <c r="I183" t="s">
        <v>572</v>
      </c>
      <c r="J183" t="s">
        <v>573</v>
      </c>
      <c r="K183" t="s">
        <v>574</v>
      </c>
      <c r="L183">
        <v>1346</v>
      </c>
      <c r="N183">
        <v>1009</v>
      </c>
      <c r="O183" t="s">
        <v>77</v>
      </c>
      <c r="P183" t="s">
        <v>77</v>
      </c>
      <c r="Q183">
        <v>1</v>
      </c>
      <c r="W183">
        <v>0</v>
      </c>
      <c r="X183">
        <v>103900845</v>
      </c>
      <c r="Y183">
        <v>0.3</v>
      </c>
      <c r="AA183">
        <v>59.75</v>
      </c>
      <c r="AB183">
        <v>0</v>
      </c>
      <c r="AC183">
        <v>0</v>
      </c>
      <c r="AD183">
        <v>0</v>
      </c>
      <c r="AE183">
        <v>9.0399999999999991</v>
      </c>
      <c r="AF183">
        <v>0</v>
      </c>
      <c r="AG183">
        <v>0</v>
      </c>
      <c r="AH183">
        <v>0</v>
      </c>
      <c r="AI183">
        <v>6.61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0.3</v>
      </c>
      <c r="AU183" t="s">
        <v>3</v>
      </c>
      <c r="AV183">
        <v>0</v>
      </c>
      <c r="AW183">
        <v>2</v>
      </c>
      <c r="AX183">
        <v>39617636</v>
      </c>
      <c r="AY183">
        <v>1</v>
      </c>
      <c r="AZ183">
        <v>0</v>
      </c>
      <c r="BA183">
        <v>171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Y183*Source!I122</f>
        <v>0.3</v>
      </c>
      <c r="CY183">
        <f>AA183</f>
        <v>59.75</v>
      </c>
      <c r="CZ183">
        <f>AE183</f>
        <v>9.0399999999999991</v>
      </c>
      <c r="DA183">
        <f>AI183</f>
        <v>6.61</v>
      </c>
      <c r="DB183">
        <v>0</v>
      </c>
    </row>
    <row r="184" spans="1:106" x14ac:dyDescent="0.2">
      <c r="A184">
        <f>ROW(Source!A122)</f>
        <v>122</v>
      </c>
      <c r="B184">
        <v>39616881</v>
      </c>
      <c r="C184">
        <v>39617630</v>
      </c>
      <c r="D184">
        <v>36825981</v>
      </c>
      <c r="E184">
        <v>1</v>
      </c>
      <c r="F184">
        <v>1</v>
      </c>
      <c r="G184">
        <v>1</v>
      </c>
      <c r="H184">
        <v>3</v>
      </c>
      <c r="I184" t="s">
        <v>575</v>
      </c>
      <c r="J184" t="s">
        <v>576</v>
      </c>
      <c r="K184" t="s">
        <v>577</v>
      </c>
      <c r="L184">
        <v>1348</v>
      </c>
      <c r="N184">
        <v>1009</v>
      </c>
      <c r="O184" t="s">
        <v>72</v>
      </c>
      <c r="P184" t="s">
        <v>72</v>
      </c>
      <c r="Q184">
        <v>1000</v>
      </c>
      <c r="W184">
        <v>0</v>
      </c>
      <c r="X184">
        <v>-1598896989</v>
      </c>
      <c r="Y184">
        <v>5.9999999999999995E-4</v>
      </c>
      <c r="AA184">
        <v>33050</v>
      </c>
      <c r="AB184">
        <v>0</v>
      </c>
      <c r="AC184">
        <v>0</v>
      </c>
      <c r="AD184">
        <v>0</v>
      </c>
      <c r="AE184">
        <v>5000</v>
      </c>
      <c r="AF184">
        <v>0</v>
      </c>
      <c r="AG184">
        <v>0</v>
      </c>
      <c r="AH184">
        <v>0</v>
      </c>
      <c r="AI184">
        <v>6.61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5.9999999999999995E-4</v>
      </c>
      <c r="AU184" t="s">
        <v>3</v>
      </c>
      <c r="AV184">
        <v>0</v>
      </c>
      <c r="AW184">
        <v>2</v>
      </c>
      <c r="AX184">
        <v>39617637</v>
      </c>
      <c r="AY184">
        <v>1</v>
      </c>
      <c r="AZ184">
        <v>0</v>
      </c>
      <c r="BA184">
        <v>172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Y184*Source!I122</f>
        <v>5.9999999999999995E-4</v>
      </c>
      <c r="CY184">
        <f>AA184</f>
        <v>33050</v>
      </c>
      <c r="CZ184">
        <f>AE184</f>
        <v>5000</v>
      </c>
      <c r="DA184">
        <f>AI184</f>
        <v>6.61</v>
      </c>
      <c r="DB184">
        <v>0</v>
      </c>
    </row>
    <row r="185" spans="1:106" x14ac:dyDescent="0.2">
      <c r="A185">
        <f>ROW(Source!A122)</f>
        <v>122</v>
      </c>
      <c r="B185">
        <v>39616881</v>
      </c>
      <c r="C185">
        <v>39617630</v>
      </c>
      <c r="D185">
        <v>36874472</v>
      </c>
      <c r="E185">
        <v>1</v>
      </c>
      <c r="F185">
        <v>1</v>
      </c>
      <c r="G185">
        <v>1</v>
      </c>
      <c r="H185">
        <v>3</v>
      </c>
      <c r="I185" t="s">
        <v>339</v>
      </c>
      <c r="J185" t="s">
        <v>341</v>
      </c>
      <c r="K185" t="s">
        <v>340</v>
      </c>
      <c r="L185">
        <v>1354</v>
      </c>
      <c r="N185">
        <v>1010</v>
      </c>
      <c r="O185" t="s">
        <v>50</v>
      </c>
      <c r="P185" t="s">
        <v>50</v>
      </c>
      <c r="Q185">
        <v>1</v>
      </c>
      <c r="W185">
        <v>0</v>
      </c>
      <c r="X185">
        <v>-1818560436</v>
      </c>
      <c r="Y185">
        <v>1</v>
      </c>
      <c r="AA185">
        <v>5672.5</v>
      </c>
      <c r="AB185">
        <v>0</v>
      </c>
      <c r="AC185">
        <v>0</v>
      </c>
      <c r="AD185">
        <v>0</v>
      </c>
      <c r="AE185">
        <v>858.17</v>
      </c>
      <c r="AF185">
        <v>0</v>
      </c>
      <c r="AG185">
        <v>0</v>
      </c>
      <c r="AH185">
        <v>0</v>
      </c>
      <c r="AI185">
        <v>6.61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3</v>
      </c>
      <c r="AT185">
        <v>1</v>
      </c>
      <c r="AU185" t="s">
        <v>3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Y185*Source!I122</f>
        <v>1</v>
      </c>
      <c r="CY185">
        <f>AA185</f>
        <v>5672.5</v>
      </c>
      <c r="CZ185">
        <f>AE185</f>
        <v>858.17</v>
      </c>
      <c r="DA185">
        <f>AI185</f>
        <v>6.61</v>
      </c>
      <c r="DB185">
        <v>0</v>
      </c>
    </row>
    <row r="186" spans="1:106" x14ac:dyDescent="0.2">
      <c r="A186">
        <f>ROW(Source!A122)</f>
        <v>122</v>
      </c>
      <c r="B186">
        <v>39616881</v>
      </c>
      <c r="C186">
        <v>39617630</v>
      </c>
      <c r="D186">
        <v>36799065</v>
      </c>
      <c r="E186">
        <v>17</v>
      </c>
      <c r="F186">
        <v>1</v>
      </c>
      <c r="G186">
        <v>1</v>
      </c>
      <c r="H186">
        <v>3</v>
      </c>
      <c r="I186" t="s">
        <v>578</v>
      </c>
      <c r="J186" t="s">
        <v>3</v>
      </c>
      <c r="K186" t="s">
        <v>579</v>
      </c>
      <c r="L186">
        <v>1374</v>
      </c>
      <c r="N186">
        <v>1013</v>
      </c>
      <c r="O186" t="s">
        <v>580</v>
      </c>
      <c r="P186" t="s">
        <v>580</v>
      </c>
      <c r="Q186">
        <v>1</v>
      </c>
      <c r="W186">
        <v>0</v>
      </c>
      <c r="X186">
        <v>-1731369543</v>
      </c>
      <c r="Y186">
        <v>0.19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0.19</v>
      </c>
      <c r="AU186" t="s">
        <v>3</v>
      </c>
      <c r="AV186">
        <v>0</v>
      </c>
      <c r="AW186">
        <v>2</v>
      </c>
      <c r="AX186">
        <v>39617638</v>
      </c>
      <c r="AY186">
        <v>1</v>
      </c>
      <c r="AZ186">
        <v>0</v>
      </c>
      <c r="BA186">
        <v>173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Y186*Source!I122</f>
        <v>0.19</v>
      </c>
      <c r="CY186">
        <f>AA186</f>
        <v>1</v>
      </c>
      <c r="CZ186">
        <f>AE186</f>
        <v>1</v>
      </c>
      <c r="DA186">
        <f>AI186</f>
        <v>1</v>
      </c>
      <c r="DB186">
        <v>0</v>
      </c>
    </row>
    <row r="187" spans="1:106" x14ac:dyDescent="0.2">
      <c r="A187">
        <f>ROW(Source!A124)</f>
        <v>124</v>
      </c>
      <c r="B187">
        <v>39616881</v>
      </c>
      <c r="C187">
        <v>39617639</v>
      </c>
      <c r="D187">
        <v>37070202</v>
      </c>
      <c r="E187">
        <v>1</v>
      </c>
      <c r="F187">
        <v>1</v>
      </c>
      <c r="G187">
        <v>1</v>
      </c>
      <c r="H187">
        <v>1</v>
      </c>
      <c r="I187" t="s">
        <v>600</v>
      </c>
      <c r="J187" t="s">
        <v>3</v>
      </c>
      <c r="K187" t="s">
        <v>601</v>
      </c>
      <c r="L187">
        <v>1191</v>
      </c>
      <c r="N187">
        <v>1013</v>
      </c>
      <c r="O187" t="s">
        <v>459</v>
      </c>
      <c r="P187" t="s">
        <v>459</v>
      </c>
      <c r="Q187">
        <v>1</v>
      </c>
      <c r="W187">
        <v>0</v>
      </c>
      <c r="X187">
        <v>1983201532</v>
      </c>
      <c r="Y187">
        <v>1.56</v>
      </c>
      <c r="AA187">
        <v>0</v>
      </c>
      <c r="AB187">
        <v>0</v>
      </c>
      <c r="AC187">
        <v>0</v>
      </c>
      <c r="AD187">
        <v>62.86</v>
      </c>
      <c r="AE187">
        <v>0</v>
      </c>
      <c r="AF187">
        <v>0</v>
      </c>
      <c r="AG187">
        <v>0</v>
      </c>
      <c r="AH187">
        <v>9.51</v>
      </c>
      <c r="AI187">
        <v>1</v>
      </c>
      <c r="AJ187">
        <v>1</v>
      </c>
      <c r="AK187">
        <v>1</v>
      </c>
      <c r="AL187">
        <v>6.61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1.56</v>
      </c>
      <c r="AU187" t="s">
        <v>3</v>
      </c>
      <c r="AV187">
        <v>1</v>
      </c>
      <c r="AW187">
        <v>2</v>
      </c>
      <c r="AX187">
        <v>39617640</v>
      </c>
      <c r="AY187">
        <v>1</v>
      </c>
      <c r="AZ187">
        <v>0</v>
      </c>
      <c r="BA187">
        <v>174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Y187*Source!I124</f>
        <v>3.12</v>
      </c>
      <c r="CY187">
        <f>AD187</f>
        <v>62.86</v>
      </c>
      <c r="CZ187">
        <f>AH187</f>
        <v>9.51</v>
      </c>
      <c r="DA187">
        <f>AL187</f>
        <v>6.61</v>
      </c>
      <c r="DB187">
        <v>0</v>
      </c>
    </row>
    <row r="188" spans="1:106" x14ac:dyDescent="0.2">
      <c r="A188">
        <f>ROW(Source!A124)</f>
        <v>124</v>
      </c>
      <c r="B188">
        <v>39616881</v>
      </c>
      <c r="C188">
        <v>39617639</v>
      </c>
      <c r="D188">
        <v>36883858</v>
      </c>
      <c r="E188">
        <v>1</v>
      </c>
      <c r="F188">
        <v>1</v>
      </c>
      <c r="G188">
        <v>1</v>
      </c>
      <c r="H188">
        <v>2</v>
      </c>
      <c r="I188" t="s">
        <v>617</v>
      </c>
      <c r="J188" t="s">
        <v>618</v>
      </c>
      <c r="K188" t="s">
        <v>619</v>
      </c>
      <c r="L188">
        <v>1368</v>
      </c>
      <c r="N188">
        <v>1011</v>
      </c>
      <c r="O188" t="s">
        <v>465</v>
      </c>
      <c r="P188" t="s">
        <v>465</v>
      </c>
      <c r="Q188">
        <v>1</v>
      </c>
      <c r="W188">
        <v>0</v>
      </c>
      <c r="X188">
        <v>-353815937</v>
      </c>
      <c r="Y188">
        <v>0.13</v>
      </c>
      <c r="AA188">
        <v>0</v>
      </c>
      <c r="AB188">
        <v>53.54</v>
      </c>
      <c r="AC188">
        <v>0</v>
      </c>
      <c r="AD188">
        <v>0</v>
      </c>
      <c r="AE188">
        <v>0</v>
      </c>
      <c r="AF188">
        <v>8.1</v>
      </c>
      <c r="AG188">
        <v>0</v>
      </c>
      <c r="AH188">
        <v>0</v>
      </c>
      <c r="AI188">
        <v>1</v>
      </c>
      <c r="AJ188">
        <v>6.61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0.13</v>
      </c>
      <c r="AU188" t="s">
        <v>3</v>
      </c>
      <c r="AV188">
        <v>0</v>
      </c>
      <c r="AW188">
        <v>2</v>
      </c>
      <c r="AX188">
        <v>39617641</v>
      </c>
      <c r="AY188">
        <v>1</v>
      </c>
      <c r="AZ188">
        <v>0</v>
      </c>
      <c r="BA188">
        <v>175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Y188*Source!I124</f>
        <v>0.26</v>
      </c>
      <c r="CY188">
        <f>AB188</f>
        <v>53.54</v>
      </c>
      <c r="CZ188">
        <f>AF188</f>
        <v>8.1</v>
      </c>
      <c r="DA188">
        <f>AJ188</f>
        <v>6.61</v>
      </c>
      <c r="DB188">
        <v>0</v>
      </c>
    </row>
    <row r="189" spans="1:106" x14ac:dyDescent="0.2">
      <c r="A189">
        <f>ROW(Source!A124)</f>
        <v>124</v>
      </c>
      <c r="B189">
        <v>39616881</v>
      </c>
      <c r="C189">
        <v>39617639</v>
      </c>
      <c r="D189">
        <v>36800043</v>
      </c>
      <c r="E189">
        <v>1</v>
      </c>
      <c r="F189">
        <v>1</v>
      </c>
      <c r="G189">
        <v>1</v>
      </c>
      <c r="H189">
        <v>3</v>
      </c>
      <c r="I189" t="s">
        <v>620</v>
      </c>
      <c r="J189" t="s">
        <v>621</v>
      </c>
      <c r="K189" t="s">
        <v>622</v>
      </c>
      <c r="L189">
        <v>1346</v>
      </c>
      <c r="N189">
        <v>1009</v>
      </c>
      <c r="O189" t="s">
        <v>77</v>
      </c>
      <c r="P189" t="s">
        <v>77</v>
      </c>
      <c r="Q189">
        <v>1</v>
      </c>
      <c r="W189">
        <v>0</v>
      </c>
      <c r="X189">
        <v>618806536</v>
      </c>
      <c r="Y189">
        <v>6.0000000000000001E-3</v>
      </c>
      <c r="AA189">
        <v>297.25</v>
      </c>
      <c r="AB189">
        <v>0</v>
      </c>
      <c r="AC189">
        <v>0</v>
      </c>
      <c r="AD189">
        <v>0</v>
      </c>
      <c r="AE189">
        <v>44.97</v>
      </c>
      <c r="AF189">
        <v>0</v>
      </c>
      <c r="AG189">
        <v>0</v>
      </c>
      <c r="AH189">
        <v>0</v>
      </c>
      <c r="AI189">
        <v>6.61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6.0000000000000001E-3</v>
      </c>
      <c r="AU189" t="s">
        <v>3</v>
      </c>
      <c r="AV189">
        <v>0</v>
      </c>
      <c r="AW189">
        <v>2</v>
      </c>
      <c r="AX189">
        <v>39617642</v>
      </c>
      <c r="AY189">
        <v>1</v>
      </c>
      <c r="AZ189">
        <v>0</v>
      </c>
      <c r="BA189">
        <v>176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Y189*Source!I124</f>
        <v>1.2E-2</v>
      </c>
      <c r="CY189">
        <f t="shared" ref="CY189:CY201" si="18">AA189</f>
        <v>297.25</v>
      </c>
      <c r="CZ189">
        <f t="shared" ref="CZ189:CZ201" si="19">AE189</f>
        <v>44.97</v>
      </c>
      <c r="DA189">
        <f t="shared" ref="DA189:DA201" si="20">AI189</f>
        <v>6.61</v>
      </c>
      <c r="DB189">
        <v>0</v>
      </c>
    </row>
    <row r="190" spans="1:106" x14ac:dyDescent="0.2">
      <c r="A190">
        <f>ROW(Source!A124)</f>
        <v>124</v>
      </c>
      <c r="B190">
        <v>39616881</v>
      </c>
      <c r="C190">
        <v>39617639</v>
      </c>
      <c r="D190">
        <v>36801775</v>
      </c>
      <c r="E190">
        <v>1</v>
      </c>
      <c r="F190">
        <v>1</v>
      </c>
      <c r="G190">
        <v>1</v>
      </c>
      <c r="H190">
        <v>3</v>
      </c>
      <c r="I190" t="s">
        <v>623</v>
      </c>
      <c r="J190" t="s">
        <v>624</v>
      </c>
      <c r="K190" t="s">
        <v>625</v>
      </c>
      <c r="L190">
        <v>1346</v>
      </c>
      <c r="N190">
        <v>1009</v>
      </c>
      <c r="O190" t="s">
        <v>77</v>
      </c>
      <c r="P190" t="s">
        <v>77</v>
      </c>
      <c r="Q190">
        <v>1</v>
      </c>
      <c r="W190">
        <v>0</v>
      </c>
      <c r="X190">
        <v>56922527</v>
      </c>
      <c r="Y190">
        <v>1E-3</v>
      </c>
      <c r="AA190">
        <v>76.02</v>
      </c>
      <c r="AB190">
        <v>0</v>
      </c>
      <c r="AC190">
        <v>0</v>
      </c>
      <c r="AD190">
        <v>0</v>
      </c>
      <c r="AE190">
        <v>11.5</v>
      </c>
      <c r="AF190">
        <v>0</v>
      </c>
      <c r="AG190">
        <v>0</v>
      </c>
      <c r="AH190">
        <v>0</v>
      </c>
      <c r="AI190">
        <v>6.61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1E-3</v>
      </c>
      <c r="AU190" t="s">
        <v>3</v>
      </c>
      <c r="AV190">
        <v>0</v>
      </c>
      <c r="AW190">
        <v>2</v>
      </c>
      <c r="AX190">
        <v>39617643</v>
      </c>
      <c r="AY190">
        <v>1</v>
      </c>
      <c r="AZ190">
        <v>0</v>
      </c>
      <c r="BA190">
        <v>177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Y190*Source!I124</f>
        <v>2E-3</v>
      </c>
      <c r="CY190">
        <f t="shared" si="18"/>
        <v>76.02</v>
      </c>
      <c r="CZ190">
        <f t="shared" si="19"/>
        <v>11.5</v>
      </c>
      <c r="DA190">
        <f t="shared" si="20"/>
        <v>6.61</v>
      </c>
      <c r="DB190">
        <v>0</v>
      </c>
    </row>
    <row r="191" spans="1:106" x14ac:dyDescent="0.2">
      <c r="A191">
        <f>ROW(Source!A124)</f>
        <v>124</v>
      </c>
      <c r="B191">
        <v>39616881</v>
      </c>
      <c r="C191">
        <v>39617639</v>
      </c>
      <c r="D191">
        <v>36802094</v>
      </c>
      <c r="E191">
        <v>1</v>
      </c>
      <c r="F191">
        <v>1</v>
      </c>
      <c r="G191">
        <v>1</v>
      </c>
      <c r="H191">
        <v>3</v>
      </c>
      <c r="I191" t="s">
        <v>569</v>
      </c>
      <c r="J191" t="s">
        <v>570</v>
      </c>
      <c r="K191" t="s">
        <v>571</v>
      </c>
      <c r="L191">
        <v>1346</v>
      </c>
      <c r="N191">
        <v>1009</v>
      </c>
      <c r="O191" t="s">
        <v>77</v>
      </c>
      <c r="P191" t="s">
        <v>77</v>
      </c>
      <c r="Q191">
        <v>1</v>
      </c>
      <c r="W191">
        <v>0</v>
      </c>
      <c r="X191">
        <v>-1088866022</v>
      </c>
      <c r="Y191">
        <v>1.2E-2</v>
      </c>
      <c r="AA191">
        <v>200.94</v>
      </c>
      <c r="AB191">
        <v>0</v>
      </c>
      <c r="AC191">
        <v>0</v>
      </c>
      <c r="AD191">
        <v>0</v>
      </c>
      <c r="AE191">
        <v>30.4</v>
      </c>
      <c r="AF191">
        <v>0</v>
      </c>
      <c r="AG191">
        <v>0</v>
      </c>
      <c r="AH191">
        <v>0</v>
      </c>
      <c r="AI191">
        <v>6.61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1.2E-2</v>
      </c>
      <c r="AU191" t="s">
        <v>3</v>
      </c>
      <c r="AV191">
        <v>0</v>
      </c>
      <c r="AW191">
        <v>2</v>
      </c>
      <c r="AX191">
        <v>39617644</v>
      </c>
      <c r="AY191">
        <v>1</v>
      </c>
      <c r="AZ191">
        <v>0</v>
      </c>
      <c r="BA191">
        <v>178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Y191*Source!I124</f>
        <v>2.4E-2</v>
      </c>
      <c r="CY191">
        <f t="shared" si="18"/>
        <v>200.94</v>
      </c>
      <c r="CZ191">
        <f t="shared" si="19"/>
        <v>30.4</v>
      </c>
      <c r="DA191">
        <f t="shared" si="20"/>
        <v>6.61</v>
      </c>
      <c r="DB191">
        <v>0</v>
      </c>
    </row>
    <row r="192" spans="1:106" x14ac:dyDescent="0.2">
      <c r="A192">
        <f>ROW(Source!A124)</f>
        <v>124</v>
      </c>
      <c r="B192">
        <v>39616881</v>
      </c>
      <c r="C192">
        <v>39617639</v>
      </c>
      <c r="D192">
        <v>36803258</v>
      </c>
      <c r="E192">
        <v>1</v>
      </c>
      <c r="F192">
        <v>1</v>
      </c>
      <c r="G192">
        <v>1</v>
      </c>
      <c r="H192">
        <v>3</v>
      </c>
      <c r="I192" t="s">
        <v>626</v>
      </c>
      <c r="J192" t="s">
        <v>627</v>
      </c>
      <c r="K192" t="s">
        <v>628</v>
      </c>
      <c r="L192">
        <v>1346</v>
      </c>
      <c r="N192">
        <v>1009</v>
      </c>
      <c r="O192" t="s">
        <v>77</v>
      </c>
      <c r="P192" t="s">
        <v>77</v>
      </c>
      <c r="Q192">
        <v>1</v>
      </c>
      <c r="W192">
        <v>0</v>
      </c>
      <c r="X192">
        <v>586013393</v>
      </c>
      <c r="Y192">
        <v>7.0000000000000007E-2</v>
      </c>
      <c r="AA192">
        <v>69.87</v>
      </c>
      <c r="AB192">
        <v>0</v>
      </c>
      <c r="AC192">
        <v>0</v>
      </c>
      <c r="AD192">
        <v>0</v>
      </c>
      <c r="AE192">
        <v>10.57</v>
      </c>
      <c r="AF192">
        <v>0</v>
      </c>
      <c r="AG192">
        <v>0</v>
      </c>
      <c r="AH192">
        <v>0</v>
      </c>
      <c r="AI192">
        <v>6.61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7.0000000000000007E-2</v>
      </c>
      <c r="AU192" t="s">
        <v>3</v>
      </c>
      <c r="AV192">
        <v>0</v>
      </c>
      <c r="AW192">
        <v>2</v>
      </c>
      <c r="AX192">
        <v>39617645</v>
      </c>
      <c r="AY192">
        <v>1</v>
      </c>
      <c r="AZ192">
        <v>0</v>
      </c>
      <c r="BA192">
        <v>179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Y192*Source!I124</f>
        <v>0.14000000000000001</v>
      </c>
      <c r="CY192">
        <f t="shared" si="18"/>
        <v>69.87</v>
      </c>
      <c r="CZ192">
        <f t="shared" si="19"/>
        <v>10.57</v>
      </c>
      <c r="DA192">
        <f t="shared" si="20"/>
        <v>6.61</v>
      </c>
      <c r="DB192">
        <v>0</v>
      </c>
    </row>
    <row r="193" spans="1:106" x14ac:dyDescent="0.2">
      <c r="A193">
        <f>ROW(Source!A124)</f>
        <v>124</v>
      </c>
      <c r="B193">
        <v>39616881</v>
      </c>
      <c r="C193">
        <v>39617639</v>
      </c>
      <c r="D193">
        <v>36804448</v>
      </c>
      <c r="E193">
        <v>1</v>
      </c>
      <c r="F193">
        <v>1</v>
      </c>
      <c r="G193">
        <v>1</v>
      </c>
      <c r="H193">
        <v>3</v>
      </c>
      <c r="I193" t="s">
        <v>572</v>
      </c>
      <c r="J193" t="s">
        <v>573</v>
      </c>
      <c r="K193" t="s">
        <v>574</v>
      </c>
      <c r="L193">
        <v>1346</v>
      </c>
      <c r="N193">
        <v>1009</v>
      </c>
      <c r="O193" t="s">
        <v>77</v>
      </c>
      <c r="P193" t="s">
        <v>77</v>
      </c>
      <c r="Q193">
        <v>1</v>
      </c>
      <c r="W193">
        <v>0</v>
      </c>
      <c r="X193">
        <v>103900845</v>
      </c>
      <c r="Y193">
        <v>4.9000000000000002E-2</v>
      </c>
      <c r="AA193">
        <v>59.75</v>
      </c>
      <c r="AB193">
        <v>0</v>
      </c>
      <c r="AC193">
        <v>0</v>
      </c>
      <c r="AD193">
        <v>0</v>
      </c>
      <c r="AE193">
        <v>9.0399999999999991</v>
      </c>
      <c r="AF193">
        <v>0</v>
      </c>
      <c r="AG193">
        <v>0</v>
      </c>
      <c r="AH193">
        <v>0</v>
      </c>
      <c r="AI193">
        <v>6.61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4.9000000000000002E-2</v>
      </c>
      <c r="AU193" t="s">
        <v>3</v>
      </c>
      <c r="AV193">
        <v>0</v>
      </c>
      <c r="AW193">
        <v>2</v>
      </c>
      <c r="AX193">
        <v>39617646</v>
      </c>
      <c r="AY193">
        <v>1</v>
      </c>
      <c r="AZ193">
        <v>0</v>
      </c>
      <c r="BA193">
        <v>180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Y193*Source!I124</f>
        <v>9.8000000000000004E-2</v>
      </c>
      <c r="CY193">
        <f t="shared" si="18"/>
        <v>59.75</v>
      </c>
      <c r="CZ193">
        <f t="shared" si="19"/>
        <v>9.0399999999999991</v>
      </c>
      <c r="DA193">
        <f t="shared" si="20"/>
        <v>6.61</v>
      </c>
      <c r="DB193">
        <v>0</v>
      </c>
    </row>
    <row r="194" spans="1:106" x14ac:dyDescent="0.2">
      <c r="A194">
        <f>ROW(Source!A124)</f>
        <v>124</v>
      </c>
      <c r="B194">
        <v>39616881</v>
      </c>
      <c r="C194">
        <v>39617639</v>
      </c>
      <c r="D194">
        <v>36804580</v>
      </c>
      <c r="E194">
        <v>1</v>
      </c>
      <c r="F194">
        <v>1</v>
      </c>
      <c r="G194">
        <v>1</v>
      </c>
      <c r="H194">
        <v>3</v>
      </c>
      <c r="I194" t="s">
        <v>611</v>
      </c>
      <c r="J194" t="s">
        <v>612</v>
      </c>
      <c r="K194" t="s">
        <v>613</v>
      </c>
      <c r="L194">
        <v>1355</v>
      </c>
      <c r="N194">
        <v>1010</v>
      </c>
      <c r="O194" t="s">
        <v>90</v>
      </c>
      <c r="P194" t="s">
        <v>90</v>
      </c>
      <c r="Q194">
        <v>100</v>
      </c>
      <c r="W194">
        <v>0</v>
      </c>
      <c r="X194">
        <v>1794244060</v>
      </c>
      <c r="Y194">
        <v>1.4E-2</v>
      </c>
      <c r="AA194">
        <v>568.46</v>
      </c>
      <c r="AB194">
        <v>0</v>
      </c>
      <c r="AC194">
        <v>0</v>
      </c>
      <c r="AD194">
        <v>0</v>
      </c>
      <c r="AE194">
        <v>86</v>
      </c>
      <c r="AF194">
        <v>0</v>
      </c>
      <c r="AG194">
        <v>0</v>
      </c>
      <c r="AH194">
        <v>0</v>
      </c>
      <c r="AI194">
        <v>6.61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1.4E-2</v>
      </c>
      <c r="AU194" t="s">
        <v>3</v>
      </c>
      <c r="AV194">
        <v>0</v>
      </c>
      <c r="AW194">
        <v>2</v>
      </c>
      <c r="AX194">
        <v>39617647</v>
      </c>
      <c r="AY194">
        <v>1</v>
      </c>
      <c r="AZ194">
        <v>0</v>
      </c>
      <c r="BA194">
        <v>181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Y194*Source!I124</f>
        <v>2.8000000000000001E-2</v>
      </c>
      <c r="CY194">
        <f t="shared" si="18"/>
        <v>568.46</v>
      </c>
      <c r="CZ194">
        <f t="shared" si="19"/>
        <v>86</v>
      </c>
      <c r="DA194">
        <f t="shared" si="20"/>
        <v>6.61</v>
      </c>
      <c r="DB194">
        <v>0</v>
      </c>
    </row>
    <row r="195" spans="1:106" x14ac:dyDescent="0.2">
      <c r="A195">
        <f>ROW(Source!A124)</f>
        <v>124</v>
      </c>
      <c r="B195">
        <v>39616881</v>
      </c>
      <c r="C195">
        <v>39617639</v>
      </c>
      <c r="D195">
        <v>36805500</v>
      </c>
      <c r="E195">
        <v>1</v>
      </c>
      <c r="F195">
        <v>1</v>
      </c>
      <c r="G195">
        <v>1</v>
      </c>
      <c r="H195">
        <v>3</v>
      </c>
      <c r="I195" t="s">
        <v>629</v>
      </c>
      <c r="J195" t="s">
        <v>630</v>
      </c>
      <c r="K195" t="s">
        <v>631</v>
      </c>
      <c r="L195">
        <v>1346</v>
      </c>
      <c r="N195">
        <v>1009</v>
      </c>
      <c r="O195" t="s">
        <v>77</v>
      </c>
      <c r="P195" t="s">
        <v>77</v>
      </c>
      <c r="Q195">
        <v>1</v>
      </c>
      <c r="W195">
        <v>0</v>
      </c>
      <c r="X195">
        <v>-856710481</v>
      </c>
      <c r="Y195">
        <v>1E-3</v>
      </c>
      <c r="AA195">
        <v>879.46</v>
      </c>
      <c r="AB195">
        <v>0</v>
      </c>
      <c r="AC195">
        <v>0</v>
      </c>
      <c r="AD195">
        <v>0</v>
      </c>
      <c r="AE195">
        <v>133.05000000000001</v>
      </c>
      <c r="AF195">
        <v>0</v>
      </c>
      <c r="AG195">
        <v>0</v>
      </c>
      <c r="AH195">
        <v>0</v>
      </c>
      <c r="AI195">
        <v>6.61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1E-3</v>
      </c>
      <c r="AU195" t="s">
        <v>3</v>
      </c>
      <c r="AV195">
        <v>0</v>
      </c>
      <c r="AW195">
        <v>2</v>
      </c>
      <c r="AX195">
        <v>39617648</v>
      </c>
      <c r="AY195">
        <v>1</v>
      </c>
      <c r="AZ195">
        <v>0</v>
      </c>
      <c r="BA195">
        <v>182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Y195*Source!I124</f>
        <v>2E-3</v>
      </c>
      <c r="CY195">
        <f t="shared" si="18"/>
        <v>879.46</v>
      </c>
      <c r="CZ195">
        <f t="shared" si="19"/>
        <v>133.05000000000001</v>
      </c>
      <c r="DA195">
        <f t="shared" si="20"/>
        <v>6.61</v>
      </c>
      <c r="DB195">
        <v>0</v>
      </c>
    </row>
    <row r="196" spans="1:106" x14ac:dyDescent="0.2">
      <c r="A196">
        <f>ROW(Source!A124)</f>
        <v>124</v>
      </c>
      <c r="B196">
        <v>39616881</v>
      </c>
      <c r="C196">
        <v>39617639</v>
      </c>
      <c r="D196">
        <v>36823140</v>
      </c>
      <c r="E196">
        <v>1</v>
      </c>
      <c r="F196">
        <v>1</v>
      </c>
      <c r="G196">
        <v>1</v>
      </c>
      <c r="H196">
        <v>3</v>
      </c>
      <c r="I196" t="s">
        <v>632</v>
      </c>
      <c r="J196" t="s">
        <v>633</v>
      </c>
      <c r="K196" t="s">
        <v>634</v>
      </c>
      <c r="L196">
        <v>1348</v>
      </c>
      <c r="N196">
        <v>1009</v>
      </c>
      <c r="O196" t="s">
        <v>72</v>
      </c>
      <c r="P196" t="s">
        <v>72</v>
      </c>
      <c r="Q196">
        <v>1000</v>
      </c>
      <c r="W196">
        <v>0</v>
      </c>
      <c r="X196">
        <v>426000481</v>
      </c>
      <c r="Y196">
        <v>1E-3</v>
      </c>
      <c r="AA196">
        <v>76015</v>
      </c>
      <c r="AB196">
        <v>0</v>
      </c>
      <c r="AC196">
        <v>0</v>
      </c>
      <c r="AD196">
        <v>0</v>
      </c>
      <c r="AE196">
        <v>11500</v>
      </c>
      <c r="AF196">
        <v>0</v>
      </c>
      <c r="AG196">
        <v>0</v>
      </c>
      <c r="AH196">
        <v>0</v>
      </c>
      <c r="AI196">
        <v>6.61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1E-3</v>
      </c>
      <c r="AU196" t="s">
        <v>3</v>
      </c>
      <c r="AV196">
        <v>0</v>
      </c>
      <c r="AW196">
        <v>2</v>
      </c>
      <c r="AX196">
        <v>39617649</v>
      </c>
      <c r="AY196">
        <v>1</v>
      </c>
      <c r="AZ196">
        <v>0</v>
      </c>
      <c r="BA196">
        <v>183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Y196*Source!I124</f>
        <v>2E-3</v>
      </c>
      <c r="CY196">
        <f t="shared" si="18"/>
        <v>76015</v>
      </c>
      <c r="CZ196">
        <f t="shared" si="19"/>
        <v>11500</v>
      </c>
      <c r="DA196">
        <f t="shared" si="20"/>
        <v>6.61</v>
      </c>
      <c r="DB196">
        <v>0</v>
      </c>
    </row>
    <row r="197" spans="1:106" x14ac:dyDescent="0.2">
      <c r="A197">
        <f>ROW(Source!A124)</f>
        <v>124</v>
      </c>
      <c r="B197">
        <v>39616881</v>
      </c>
      <c r="C197">
        <v>39617639</v>
      </c>
      <c r="D197">
        <v>36838317</v>
      </c>
      <c r="E197">
        <v>1</v>
      </c>
      <c r="F197">
        <v>1</v>
      </c>
      <c r="G197">
        <v>1</v>
      </c>
      <c r="H197">
        <v>3</v>
      </c>
      <c r="I197" t="s">
        <v>592</v>
      </c>
      <c r="J197" t="s">
        <v>593</v>
      </c>
      <c r="K197" t="s">
        <v>191</v>
      </c>
      <c r="L197">
        <v>1346</v>
      </c>
      <c r="N197">
        <v>1009</v>
      </c>
      <c r="O197" t="s">
        <v>77</v>
      </c>
      <c r="P197" t="s">
        <v>77</v>
      </c>
      <c r="Q197">
        <v>1</v>
      </c>
      <c r="W197">
        <v>0</v>
      </c>
      <c r="X197">
        <v>210558753</v>
      </c>
      <c r="Y197">
        <v>3.5999999999999997E-2</v>
      </c>
      <c r="AA197">
        <v>189.05</v>
      </c>
      <c r="AB197">
        <v>0</v>
      </c>
      <c r="AC197">
        <v>0</v>
      </c>
      <c r="AD197">
        <v>0</v>
      </c>
      <c r="AE197">
        <v>28.6</v>
      </c>
      <c r="AF197">
        <v>0</v>
      </c>
      <c r="AG197">
        <v>0</v>
      </c>
      <c r="AH197">
        <v>0</v>
      </c>
      <c r="AI197">
        <v>6.61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3.5999999999999997E-2</v>
      </c>
      <c r="AU197" t="s">
        <v>3</v>
      </c>
      <c r="AV197">
        <v>0</v>
      </c>
      <c r="AW197">
        <v>2</v>
      </c>
      <c r="AX197">
        <v>39617650</v>
      </c>
      <c r="AY197">
        <v>1</v>
      </c>
      <c r="AZ197">
        <v>0</v>
      </c>
      <c r="BA197">
        <v>184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Y197*Source!I124</f>
        <v>7.1999999999999995E-2</v>
      </c>
      <c r="CY197">
        <f t="shared" si="18"/>
        <v>189.05</v>
      </c>
      <c r="CZ197">
        <f t="shared" si="19"/>
        <v>28.6</v>
      </c>
      <c r="DA197">
        <f t="shared" si="20"/>
        <v>6.61</v>
      </c>
      <c r="DB197">
        <v>0</v>
      </c>
    </row>
    <row r="198" spans="1:106" x14ac:dyDescent="0.2">
      <c r="A198">
        <f>ROW(Source!A124)</f>
        <v>124</v>
      </c>
      <c r="B198">
        <v>39616881</v>
      </c>
      <c r="C198">
        <v>39617639</v>
      </c>
      <c r="D198">
        <v>36838470</v>
      </c>
      <c r="E198">
        <v>1</v>
      </c>
      <c r="F198">
        <v>1</v>
      </c>
      <c r="G198">
        <v>1</v>
      </c>
      <c r="H198">
        <v>3</v>
      </c>
      <c r="I198" t="s">
        <v>635</v>
      </c>
      <c r="J198" t="s">
        <v>636</v>
      </c>
      <c r="K198" t="s">
        <v>637</v>
      </c>
      <c r="L198">
        <v>1346</v>
      </c>
      <c r="N198">
        <v>1009</v>
      </c>
      <c r="O198" t="s">
        <v>77</v>
      </c>
      <c r="P198" t="s">
        <v>77</v>
      </c>
      <c r="Q198">
        <v>1</v>
      </c>
      <c r="W198">
        <v>0</v>
      </c>
      <c r="X198">
        <v>-1274984028</v>
      </c>
      <c r="Y198">
        <v>6.0000000000000001E-3</v>
      </c>
      <c r="AA198">
        <v>235.51</v>
      </c>
      <c r="AB198">
        <v>0</v>
      </c>
      <c r="AC198">
        <v>0</v>
      </c>
      <c r="AD198">
        <v>0</v>
      </c>
      <c r="AE198">
        <v>35.630000000000003</v>
      </c>
      <c r="AF198">
        <v>0</v>
      </c>
      <c r="AG198">
        <v>0</v>
      </c>
      <c r="AH198">
        <v>0</v>
      </c>
      <c r="AI198">
        <v>6.61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6.0000000000000001E-3</v>
      </c>
      <c r="AU198" t="s">
        <v>3</v>
      </c>
      <c r="AV198">
        <v>0</v>
      </c>
      <c r="AW198">
        <v>2</v>
      </c>
      <c r="AX198">
        <v>39617651</v>
      </c>
      <c r="AY198">
        <v>1</v>
      </c>
      <c r="AZ198">
        <v>0</v>
      </c>
      <c r="BA198">
        <v>185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Y198*Source!I124</f>
        <v>1.2E-2</v>
      </c>
      <c r="CY198">
        <f t="shared" si="18"/>
        <v>235.51</v>
      </c>
      <c r="CZ198">
        <f t="shared" si="19"/>
        <v>35.630000000000003</v>
      </c>
      <c r="DA198">
        <f t="shared" si="20"/>
        <v>6.61</v>
      </c>
      <c r="DB198">
        <v>0</v>
      </c>
    </row>
    <row r="199" spans="1:106" x14ac:dyDescent="0.2">
      <c r="A199">
        <f>ROW(Source!A124)</f>
        <v>124</v>
      </c>
      <c r="B199">
        <v>39616881</v>
      </c>
      <c r="C199">
        <v>39617639</v>
      </c>
      <c r="D199">
        <v>36851945</v>
      </c>
      <c r="E199">
        <v>1</v>
      </c>
      <c r="F199">
        <v>1</v>
      </c>
      <c r="G199">
        <v>1</v>
      </c>
      <c r="H199">
        <v>3</v>
      </c>
      <c r="I199" t="s">
        <v>638</v>
      </c>
      <c r="J199" t="s">
        <v>639</v>
      </c>
      <c r="K199" t="s">
        <v>640</v>
      </c>
      <c r="L199">
        <v>1358</v>
      </c>
      <c r="N199">
        <v>1010</v>
      </c>
      <c r="O199" t="s">
        <v>334</v>
      </c>
      <c r="P199" t="s">
        <v>334</v>
      </c>
      <c r="Q199">
        <v>10</v>
      </c>
      <c r="W199">
        <v>0</v>
      </c>
      <c r="X199">
        <v>1386890308</v>
      </c>
      <c r="Y199">
        <v>0.1</v>
      </c>
      <c r="AA199">
        <v>257.79000000000002</v>
      </c>
      <c r="AB199">
        <v>0</v>
      </c>
      <c r="AC199">
        <v>0</v>
      </c>
      <c r="AD199">
        <v>0</v>
      </c>
      <c r="AE199">
        <v>39</v>
      </c>
      <c r="AF199">
        <v>0</v>
      </c>
      <c r="AG199">
        <v>0</v>
      </c>
      <c r="AH199">
        <v>0</v>
      </c>
      <c r="AI199">
        <v>6.61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0.1</v>
      </c>
      <c r="AU199" t="s">
        <v>3</v>
      </c>
      <c r="AV199">
        <v>0</v>
      </c>
      <c r="AW199">
        <v>2</v>
      </c>
      <c r="AX199">
        <v>39617652</v>
      </c>
      <c r="AY199">
        <v>1</v>
      </c>
      <c r="AZ199">
        <v>0</v>
      </c>
      <c r="BA199">
        <v>186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Y199*Source!I124</f>
        <v>0.2</v>
      </c>
      <c r="CY199">
        <f t="shared" si="18"/>
        <v>257.79000000000002</v>
      </c>
      <c r="CZ199">
        <f t="shared" si="19"/>
        <v>39</v>
      </c>
      <c r="DA199">
        <f t="shared" si="20"/>
        <v>6.61</v>
      </c>
      <c r="DB199">
        <v>0</v>
      </c>
    </row>
    <row r="200" spans="1:106" x14ac:dyDescent="0.2">
      <c r="A200">
        <f>ROW(Source!A124)</f>
        <v>124</v>
      </c>
      <c r="B200">
        <v>39616881</v>
      </c>
      <c r="C200">
        <v>39617639</v>
      </c>
      <c r="D200">
        <v>36873469</v>
      </c>
      <c r="E200">
        <v>1</v>
      </c>
      <c r="F200">
        <v>1</v>
      </c>
      <c r="G200">
        <v>1</v>
      </c>
      <c r="H200">
        <v>3</v>
      </c>
      <c r="I200" t="s">
        <v>347</v>
      </c>
      <c r="J200" t="s">
        <v>349</v>
      </c>
      <c r="K200" t="s">
        <v>348</v>
      </c>
      <c r="L200">
        <v>1354</v>
      </c>
      <c r="N200">
        <v>1010</v>
      </c>
      <c r="O200" t="s">
        <v>50</v>
      </c>
      <c r="P200" t="s">
        <v>50</v>
      </c>
      <c r="Q200">
        <v>1</v>
      </c>
      <c r="W200">
        <v>0</v>
      </c>
      <c r="X200">
        <v>1562455889</v>
      </c>
      <c r="Y200">
        <v>1</v>
      </c>
      <c r="AA200">
        <v>1051.3900000000001</v>
      </c>
      <c r="AB200">
        <v>0</v>
      </c>
      <c r="AC200">
        <v>0</v>
      </c>
      <c r="AD200">
        <v>0</v>
      </c>
      <c r="AE200">
        <v>159.06</v>
      </c>
      <c r="AF200">
        <v>0</v>
      </c>
      <c r="AG200">
        <v>0</v>
      </c>
      <c r="AH200">
        <v>0</v>
      </c>
      <c r="AI200">
        <v>6.61</v>
      </c>
      <c r="AJ200">
        <v>1</v>
      </c>
      <c r="AK200">
        <v>1</v>
      </c>
      <c r="AL200">
        <v>1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3</v>
      </c>
      <c r="AT200">
        <v>1</v>
      </c>
      <c r="AU200" t="s">
        <v>3</v>
      </c>
      <c r="AV200">
        <v>0</v>
      </c>
      <c r="AW200">
        <v>1</v>
      </c>
      <c r="AX200">
        <v>-1</v>
      </c>
      <c r="AY200">
        <v>0</v>
      </c>
      <c r="AZ200">
        <v>0</v>
      </c>
      <c r="BA200" t="s">
        <v>3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Y200*Source!I124</f>
        <v>2</v>
      </c>
      <c r="CY200">
        <f t="shared" si="18"/>
        <v>1051.3900000000001</v>
      </c>
      <c r="CZ200">
        <f t="shared" si="19"/>
        <v>159.06</v>
      </c>
      <c r="DA200">
        <f t="shared" si="20"/>
        <v>6.61</v>
      </c>
      <c r="DB200">
        <v>0</v>
      </c>
    </row>
    <row r="201" spans="1:106" x14ac:dyDescent="0.2">
      <c r="A201">
        <f>ROW(Source!A124)</f>
        <v>124</v>
      </c>
      <c r="B201">
        <v>39616881</v>
      </c>
      <c r="C201">
        <v>39617639</v>
      </c>
      <c r="D201">
        <v>36799065</v>
      </c>
      <c r="E201">
        <v>17</v>
      </c>
      <c r="F201">
        <v>1</v>
      </c>
      <c r="G201">
        <v>1</v>
      </c>
      <c r="H201">
        <v>3</v>
      </c>
      <c r="I201" t="s">
        <v>578</v>
      </c>
      <c r="J201" t="s">
        <v>3</v>
      </c>
      <c r="K201" t="s">
        <v>579</v>
      </c>
      <c r="L201">
        <v>1374</v>
      </c>
      <c r="N201">
        <v>1013</v>
      </c>
      <c r="O201" t="s">
        <v>580</v>
      </c>
      <c r="P201" t="s">
        <v>580</v>
      </c>
      <c r="Q201">
        <v>1</v>
      </c>
      <c r="W201">
        <v>0</v>
      </c>
      <c r="X201">
        <v>-1731369543</v>
      </c>
      <c r="Y201">
        <v>0.3</v>
      </c>
      <c r="AA201">
        <v>1</v>
      </c>
      <c r="AB201">
        <v>0</v>
      </c>
      <c r="AC201">
        <v>0</v>
      </c>
      <c r="AD201">
        <v>0</v>
      </c>
      <c r="AE201">
        <v>1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0.3</v>
      </c>
      <c r="AU201" t="s">
        <v>3</v>
      </c>
      <c r="AV201">
        <v>0</v>
      </c>
      <c r="AW201">
        <v>2</v>
      </c>
      <c r="AX201">
        <v>39617653</v>
      </c>
      <c r="AY201">
        <v>1</v>
      </c>
      <c r="AZ201">
        <v>0</v>
      </c>
      <c r="BA201">
        <v>187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Y201*Source!I124</f>
        <v>0.6</v>
      </c>
      <c r="CY201">
        <f t="shared" si="18"/>
        <v>1</v>
      </c>
      <c r="CZ201">
        <f t="shared" si="19"/>
        <v>1</v>
      </c>
      <c r="DA201">
        <f t="shared" si="20"/>
        <v>1</v>
      </c>
      <c r="DB201">
        <v>0</v>
      </c>
    </row>
    <row r="202" spans="1:106" x14ac:dyDescent="0.2">
      <c r="A202">
        <f>ROW(Source!A126)</f>
        <v>126</v>
      </c>
      <c r="B202">
        <v>39616881</v>
      </c>
      <c r="C202">
        <v>39617654</v>
      </c>
      <c r="D202">
        <v>37080781</v>
      </c>
      <c r="E202">
        <v>1</v>
      </c>
      <c r="F202">
        <v>1</v>
      </c>
      <c r="G202">
        <v>1</v>
      </c>
      <c r="H202">
        <v>1</v>
      </c>
      <c r="I202" t="s">
        <v>581</v>
      </c>
      <c r="J202" t="s">
        <v>3</v>
      </c>
      <c r="K202" t="s">
        <v>582</v>
      </c>
      <c r="L202">
        <v>1191</v>
      </c>
      <c r="N202">
        <v>1013</v>
      </c>
      <c r="O202" t="s">
        <v>459</v>
      </c>
      <c r="P202" t="s">
        <v>459</v>
      </c>
      <c r="Q202">
        <v>1</v>
      </c>
      <c r="W202">
        <v>0</v>
      </c>
      <c r="X202">
        <v>912892513</v>
      </c>
      <c r="Y202">
        <v>1.1200000000000001</v>
      </c>
      <c r="AA202">
        <v>0</v>
      </c>
      <c r="AB202">
        <v>0</v>
      </c>
      <c r="AC202">
        <v>0</v>
      </c>
      <c r="AD202">
        <v>65.569999999999993</v>
      </c>
      <c r="AE202">
        <v>0</v>
      </c>
      <c r="AF202">
        <v>0</v>
      </c>
      <c r="AG202">
        <v>0</v>
      </c>
      <c r="AH202">
        <v>9.92</v>
      </c>
      <c r="AI202">
        <v>1</v>
      </c>
      <c r="AJ202">
        <v>1</v>
      </c>
      <c r="AK202">
        <v>1</v>
      </c>
      <c r="AL202">
        <v>6.61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1.1200000000000001</v>
      </c>
      <c r="AU202" t="s">
        <v>3</v>
      </c>
      <c r="AV202">
        <v>1</v>
      </c>
      <c r="AW202">
        <v>2</v>
      </c>
      <c r="AX202">
        <v>39617655</v>
      </c>
      <c r="AY202">
        <v>1</v>
      </c>
      <c r="AZ202">
        <v>0</v>
      </c>
      <c r="BA202">
        <v>188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Y202*Source!I126</f>
        <v>1.1200000000000001</v>
      </c>
      <c r="CY202">
        <f>AD202</f>
        <v>65.569999999999993</v>
      </c>
      <c r="CZ202">
        <f>AH202</f>
        <v>9.92</v>
      </c>
      <c r="DA202">
        <f>AL202</f>
        <v>6.61</v>
      </c>
      <c r="DB202">
        <v>0</v>
      </c>
    </row>
    <row r="203" spans="1:106" x14ac:dyDescent="0.2">
      <c r="A203">
        <f>ROW(Source!A126)</f>
        <v>126</v>
      </c>
      <c r="B203">
        <v>39616881</v>
      </c>
      <c r="C203">
        <v>39617654</v>
      </c>
      <c r="D203">
        <v>36804448</v>
      </c>
      <c r="E203">
        <v>1</v>
      </c>
      <c r="F203">
        <v>1</v>
      </c>
      <c r="G203">
        <v>1</v>
      </c>
      <c r="H203">
        <v>3</v>
      </c>
      <c r="I203" t="s">
        <v>572</v>
      </c>
      <c r="J203" t="s">
        <v>573</v>
      </c>
      <c r="K203" t="s">
        <v>574</v>
      </c>
      <c r="L203">
        <v>1346</v>
      </c>
      <c r="N203">
        <v>1009</v>
      </c>
      <c r="O203" t="s">
        <v>77</v>
      </c>
      <c r="P203" t="s">
        <v>77</v>
      </c>
      <c r="Q203">
        <v>1</v>
      </c>
      <c r="W203">
        <v>0</v>
      </c>
      <c r="X203">
        <v>103900845</v>
      </c>
      <c r="Y203">
        <v>0.02</v>
      </c>
      <c r="AA203">
        <v>59.75</v>
      </c>
      <c r="AB203">
        <v>0</v>
      </c>
      <c r="AC203">
        <v>0</v>
      </c>
      <c r="AD203">
        <v>0</v>
      </c>
      <c r="AE203">
        <v>9.0399999999999991</v>
      </c>
      <c r="AF203">
        <v>0</v>
      </c>
      <c r="AG203">
        <v>0</v>
      </c>
      <c r="AH203">
        <v>0</v>
      </c>
      <c r="AI203">
        <v>6.61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0.02</v>
      </c>
      <c r="AU203" t="s">
        <v>3</v>
      </c>
      <c r="AV203">
        <v>0</v>
      </c>
      <c r="AW203">
        <v>2</v>
      </c>
      <c r="AX203">
        <v>39617656</v>
      </c>
      <c r="AY203">
        <v>1</v>
      </c>
      <c r="AZ203">
        <v>0</v>
      </c>
      <c r="BA203">
        <v>189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Y203*Source!I126</f>
        <v>0.02</v>
      </c>
      <c r="CY203">
        <f>AA203</f>
        <v>59.75</v>
      </c>
      <c r="CZ203">
        <f>AE203</f>
        <v>9.0399999999999991</v>
      </c>
      <c r="DA203">
        <f>AI203</f>
        <v>6.61</v>
      </c>
      <c r="DB203">
        <v>0</v>
      </c>
    </row>
    <row r="204" spans="1:106" x14ac:dyDescent="0.2">
      <c r="A204">
        <f>ROW(Source!A126)</f>
        <v>126</v>
      </c>
      <c r="B204">
        <v>39616881</v>
      </c>
      <c r="C204">
        <v>39617654</v>
      </c>
      <c r="D204">
        <v>36873472</v>
      </c>
      <c r="E204">
        <v>1</v>
      </c>
      <c r="F204">
        <v>1</v>
      </c>
      <c r="G204">
        <v>1</v>
      </c>
      <c r="H204">
        <v>3</v>
      </c>
      <c r="I204" t="s">
        <v>355</v>
      </c>
      <c r="J204" t="s">
        <v>357</v>
      </c>
      <c r="K204" t="s">
        <v>356</v>
      </c>
      <c r="L204">
        <v>1354</v>
      </c>
      <c r="N204">
        <v>1010</v>
      </c>
      <c r="O204" t="s">
        <v>50</v>
      </c>
      <c r="P204" t="s">
        <v>50</v>
      </c>
      <c r="Q204">
        <v>1</v>
      </c>
      <c r="W204">
        <v>0</v>
      </c>
      <c r="X204">
        <v>-771736519</v>
      </c>
      <c r="Y204">
        <v>1</v>
      </c>
      <c r="AA204">
        <v>1217.17</v>
      </c>
      <c r="AB204">
        <v>0</v>
      </c>
      <c r="AC204">
        <v>0</v>
      </c>
      <c r="AD204">
        <v>0</v>
      </c>
      <c r="AE204">
        <v>184.14</v>
      </c>
      <c r="AF204">
        <v>0</v>
      </c>
      <c r="AG204">
        <v>0</v>
      </c>
      <c r="AH204">
        <v>0</v>
      </c>
      <c r="AI204">
        <v>6.61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3</v>
      </c>
      <c r="AT204">
        <v>1</v>
      </c>
      <c r="AU204" t="s">
        <v>3</v>
      </c>
      <c r="AV204">
        <v>0</v>
      </c>
      <c r="AW204">
        <v>1</v>
      </c>
      <c r="AX204">
        <v>-1</v>
      </c>
      <c r="AY204">
        <v>0</v>
      </c>
      <c r="AZ204">
        <v>0</v>
      </c>
      <c r="BA204" t="s">
        <v>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Y204*Source!I126</f>
        <v>1</v>
      </c>
      <c r="CY204">
        <f>AA204</f>
        <v>1217.17</v>
      </c>
      <c r="CZ204">
        <f>AE204</f>
        <v>184.14</v>
      </c>
      <c r="DA204">
        <f>AI204</f>
        <v>6.61</v>
      </c>
      <c r="DB204">
        <v>0</v>
      </c>
    </row>
    <row r="205" spans="1:106" x14ac:dyDescent="0.2">
      <c r="A205">
        <f>ROW(Source!A126)</f>
        <v>126</v>
      </c>
      <c r="B205">
        <v>39616881</v>
      </c>
      <c r="C205">
        <v>39617654</v>
      </c>
      <c r="D205">
        <v>36799065</v>
      </c>
      <c r="E205">
        <v>17</v>
      </c>
      <c r="F205">
        <v>1</v>
      </c>
      <c r="G205">
        <v>1</v>
      </c>
      <c r="H205">
        <v>3</v>
      </c>
      <c r="I205" t="s">
        <v>578</v>
      </c>
      <c r="J205" t="s">
        <v>3</v>
      </c>
      <c r="K205" t="s">
        <v>579</v>
      </c>
      <c r="L205">
        <v>1374</v>
      </c>
      <c r="N205">
        <v>1013</v>
      </c>
      <c r="O205" t="s">
        <v>580</v>
      </c>
      <c r="P205" t="s">
        <v>580</v>
      </c>
      <c r="Q205">
        <v>1</v>
      </c>
      <c r="W205">
        <v>0</v>
      </c>
      <c r="X205">
        <v>-1731369543</v>
      </c>
      <c r="Y205">
        <v>0.22</v>
      </c>
      <c r="AA205">
        <v>1</v>
      </c>
      <c r="AB205">
        <v>0</v>
      </c>
      <c r="AC205">
        <v>0</v>
      </c>
      <c r="AD205">
        <v>0</v>
      </c>
      <c r="AE205">
        <v>1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0.22</v>
      </c>
      <c r="AU205" t="s">
        <v>3</v>
      </c>
      <c r="AV205">
        <v>0</v>
      </c>
      <c r="AW205">
        <v>2</v>
      </c>
      <c r="AX205">
        <v>39617657</v>
      </c>
      <c r="AY205">
        <v>1</v>
      </c>
      <c r="AZ205">
        <v>0</v>
      </c>
      <c r="BA205">
        <v>190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Y205*Source!I126</f>
        <v>0.22</v>
      </c>
      <c r="CY205">
        <f>AA205</f>
        <v>1</v>
      </c>
      <c r="CZ205">
        <f>AE205</f>
        <v>1</v>
      </c>
      <c r="DA205">
        <f>AI205</f>
        <v>1</v>
      </c>
      <c r="DB205">
        <v>0</v>
      </c>
    </row>
    <row r="206" spans="1:106" x14ac:dyDescent="0.2">
      <c r="A206">
        <f>ROW(Source!A128)</f>
        <v>128</v>
      </c>
      <c r="B206">
        <v>39616881</v>
      </c>
      <c r="C206">
        <v>39617658</v>
      </c>
      <c r="D206">
        <v>37071037</v>
      </c>
      <c r="E206">
        <v>1</v>
      </c>
      <c r="F206">
        <v>1</v>
      </c>
      <c r="G206">
        <v>1</v>
      </c>
      <c r="H206">
        <v>1</v>
      </c>
      <c r="I206" t="s">
        <v>538</v>
      </c>
      <c r="J206" t="s">
        <v>3</v>
      </c>
      <c r="K206" t="s">
        <v>539</v>
      </c>
      <c r="L206">
        <v>1191</v>
      </c>
      <c r="N206">
        <v>1013</v>
      </c>
      <c r="O206" t="s">
        <v>459</v>
      </c>
      <c r="P206" t="s">
        <v>459</v>
      </c>
      <c r="Q206">
        <v>1</v>
      </c>
      <c r="W206">
        <v>0</v>
      </c>
      <c r="X206">
        <v>1069510174</v>
      </c>
      <c r="Y206">
        <v>2.25</v>
      </c>
      <c r="AA206">
        <v>0</v>
      </c>
      <c r="AB206">
        <v>0</v>
      </c>
      <c r="AC206">
        <v>0</v>
      </c>
      <c r="AD206">
        <v>63.59</v>
      </c>
      <c r="AE206">
        <v>0</v>
      </c>
      <c r="AF206">
        <v>0</v>
      </c>
      <c r="AG206">
        <v>0</v>
      </c>
      <c r="AH206">
        <v>9.6199999999999992</v>
      </c>
      <c r="AI206">
        <v>1</v>
      </c>
      <c r="AJ206">
        <v>1</v>
      </c>
      <c r="AK206">
        <v>1</v>
      </c>
      <c r="AL206">
        <v>6.61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2.25</v>
      </c>
      <c r="AU206" t="s">
        <v>3</v>
      </c>
      <c r="AV206">
        <v>1</v>
      </c>
      <c r="AW206">
        <v>2</v>
      </c>
      <c r="AX206">
        <v>39617659</v>
      </c>
      <c r="AY206">
        <v>1</v>
      </c>
      <c r="AZ206">
        <v>0</v>
      </c>
      <c r="BA206">
        <v>191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Y206*Source!I128</f>
        <v>2.25</v>
      </c>
      <c r="CY206">
        <f>AD206</f>
        <v>63.59</v>
      </c>
      <c r="CZ206">
        <f>AH206</f>
        <v>9.6199999999999992</v>
      </c>
      <c r="DA206">
        <f>AL206</f>
        <v>6.61</v>
      </c>
      <c r="DB206">
        <v>0</v>
      </c>
    </row>
    <row r="207" spans="1:106" x14ac:dyDescent="0.2">
      <c r="A207">
        <f>ROW(Source!A128)</f>
        <v>128</v>
      </c>
      <c r="B207">
        <v>39616881</v>
      </c>
      <c r="C207">
        <v>39617658</v>
      </c>
      <c r="D207">
        <v>37064876</v>
      </c>
      <c r="E207">
        <v>1</v>
      </c>
      <c r="F207">
        <v>1</v>
      </c>
      <c r="G207">
        <v>1</v>
      </c>
      <c r="H207">
        <v>1</v>
      </c>
      <c r="I207" t="s">
        <v>460</v>
      </c>
      <c r="J207" t="s">
        <v>3</v>
      </c>
      <c r="K207" t="s">
        <v>461</v>
      </c>
      <c r="L207">
        <v>1191</v>
      </c>
      <c r="N207">
        <v>1013</v>
      </c>
      <c r="O207" t="s">
        <v>459</v>
      </c>
      <c r="P207" t="s">
        <v>459</v>
      </c>
      <c r="Q207">
        <v>1</v>
      </c>
      <c r="W207">
        <v>0</v>
      </c>
      <c r="X207">
        <v>-1417349443</v>
      </c>
      <c r="Y207">
        <v>0.16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6.61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0.16</v>
      </c>
      <c r="AU207" t="s">
        <v>3</v>
      </c>
      <c r="AV207">
        <v>2</v>
      </c>
      <c r="AW207">
        <v>2</v>
      </c>
      <c r="AX207">
        <v>39617660</v>
      </c>
      <c r="AY207">
        <v>1</v>
      </c>
      <c r="AZ207">
        <v>0</v>
      </c>
      <c r="BA207">
        <v>192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Y207*Source!I128</f>
        <v>0.16</v>
      </c>
      <c r="CY207">
        <f>AD207</f>
        <v>0</v>
      </c>
      <c r="CZ207">
        <f>AH207</f>
        <v>0</v>
      </c>
      <c r="DA207">
        <f>AL207</f>
        <v>1</v>
      </c>
      <c r="DB207">
        <v>0</v>
      </c>
    </row>
    <row r="208" spans="1:106" x14ac:dyDescent="0.2">
      <c r="A208">
        <f>ROW(Source!A128)</f>
        <v>128</v>
      </c>
      <c r="B208">
        <v>39616881</v>
      </c>
      <c r="C208">
        <v>39617658</v>
      </c>
      <c r="D208">
        <v>36882159</v>
      </c>
      <c r="E208">
        <v>1</v>
      </c>
      <c r="F208">
        <v>1</v>
      </c>
      <c r="G208">
        <v>1</v>
      </c>
      <c r="H208">
        <v>2</v>
      </c>
      <c r="I208" t="s">
        <v>566</v>
      </c>
      <c r="J208" t="s">
        <v>567</v>
      </c>
      <c r="K208" t="s">
        <v>568</v>
      </c>
      <c r="L208">
        <v>1368</v>
      </c>
      <c r="N208">
        <v>1011</v>
      </c>
      <c r="O208" t="s">
        <v>465</v>
      </c>
      <c r="P208" t="s">
        <v>465</v>
      </c>
      <c r="Q208">
        <v>1</v>
      </c>
      <c r="W208">
        <v>0</v>
      </c>
      <c r="X208">
        <v>-1718674368</v>
      </c>
      <c r="Y208">
        <v>0.08</v>
      </c>
      <c r="AA208">
        <v>0</v>
      </c>
      <c r="AB208">
        <v>740.25</v>
      </c>
      <c r="AC208">
        <v>13.5</v>
      </c>
      <c r="AD208">
        <v>0</v>
      </c>
      <c r="AE208">
        <v>0</v>
      </c>
      <c r="AF208">
        <v>111.99</v>
      </c>
      <c r="AG208">
        <v>13.5</v>
      </c>
      <c r="AH208">
        <v>0</v>
      </c>
      <c r="AI208">
        <v>1</v>
      </c>
      <c r="AJ208">
        <v>6.61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0.08</v>
      </c>
      <c r="AU208" t="s">
        <v>3</v>
      </c>
      <c r="AV208">
        <v>0</v>
      </c>
      <c r="AW208">
        <v>2</v>
      </c>
      <c r="AX208">
        <v>39617661</v>
      </c>
      <c r="AY208">
        <v>1</v>
      </c>
      <c r="AZ208">
        <v>0</v>
      </c>
      <c r="BA208">
        <v>193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Y208*Source!I128</f>
        <v>0.08</v>
      </c>
      <c r="CY208">
        <f>AB208</f>
        <v>740.25</v>
      </c>
      <c r="CZ208">
        <f>AF208</f>
        <v>111.99</v>
      </c>
      <c r="DA208">
        <f>AJ208</f>
        <v>6.61</v>
      </c>
      <c r="DB208">
        <v>0</v>
      </c>
    </row>
    <row r="209" spans="1:106" x14ac:dyDescent="0.2">
      <c r="A209">
        <f>ROW(Source!A128)</f>
        <v>128</v>
      </c>
      <c r="B209">
        <v>39616881</v>
      </c>
      <c r="C209">
        <v>39617658</v>
      </c>
      <c r="D209">
        <v>36883554</v>
      </c>
      <c r="E209">
        <v>1</v>
      </c>
      <c r="F209">
        <v>1</v>
      </c>
      <c r="G209">
        <v>1</v>
      </c>
      <c r="H209">
        <v>2</v>
      </c>
      <c r="I209" t="s">
        <v>468</v>
      </c>
      <c r="J209" t="s">
        <v>469</v>
      </c>
      <c r="K209" t="s">
        <v>470</v>
      </c>
      <c r="L209">
        <v>1368</v>
      </c>
      <c r="N209">
        <v>1011</v>
      </c>
      <c r="O209" t="s">
        <v>465</v>
      </c>
      <c r="P209" t="s">
        <v>465</v>
      </c>
      <c r="Q209">
        <v>1</v>
      </c>
      <c r="W209">
        <v>0</v>
      </c>
      <c r="X209">
        <v>1372534845</v>
      </c>
      <c r="Y209">
        <v>0.08</v>
      </c>
      <c r="AA209">
        <v>0</v>
      </c>
      <c r="AB209">
        <v>434.34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6.61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0.08</v>
      </c>
      <c r="AU209" t="s">
        <v>3</v>
      </c>
      <c r="AV209">
        <v>0</v>
      </c>
      <c r="AW209">
        <v>2</v>
      </c>
      <c r="AX209">
        <v>39617662</v>
      </c>
      <c r="AY209">
        <v>1</v>
      </c>
      <c r="AZ209">
        <v>0</v>
      </c>
      <c r="BA209">
        <v>194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Y209*Source!I128</f>
        <v>0.08</v>
      </c>
      <c r="CY209">
        <f>AB209</f>
        <v>434.34</v>
      </c>
      <c r="CZ209">
        <f>AF209</f>
        <v>65.709999999999994</v>
      </c>
      <c r="DA209">
        <f>AJ209</f>
        <v>6.61</v>
      </c>
      <c r="DB209">
        <v>0</v>
      </c>
    </row>
    <row r="210" spans="1:106" x14ac:dyDescent="0.2">
      <c r="A210">
        <f>ROW(Source!A128)</f>
        <v>128</v>
      </c>
      <c r="B210">
        <v>39616881</v>
      </c>
      <c r="C210">
        <v>39617658</v>
      </c>
      <c r="D210">
        <v>36804448</v>
      </c>
      <c r="E210">
        <v>1</v>
      </c>
      <c r="F210">
        <v>1</v>
      </c>
      <c r="G210">
        <v>1</v>
      </c>
      <c r="H210">
        <v>3</v>
      </c>
      <c r="I210" t="s">
        <v>572</v>
      </c>
      <c r="J210" t="s">
        <v>573</v>
      </c>
      <c r="K210" t="s">
        <v>574</v>
      </c>
      <c r="L210">
        <v>1346</v>
      </c>
      <c r="N210">
        <v>1009</v>
      </c>
      <c r="O210" t="s">
        <v>77</v>
      </c>
      <c r="P210" t="s">
        <v>77</v>
      </c>
      <c r="Q210">
        <v>1</v>
      </c>
      <c r="W210">
        <v>0</v>
      </c>
      <c r="X210">
        <v>103900845</v>
      </c>
      <c r="Y210">
        <v>0.04</v>
      </c>
      <c r="AA210">
        <v>59.75</v>
      </c>
      <c r="AB210">
        <v>0</v>
      </c>
      <c r="AC210">
        <v>0</v>
      </c>
      <c r="AD210">
        <v>0</v>
      </c>
      <c r="AE210">
        <v>9.0399999999999991</v>
      </c>
      <c r="AF210">
        <v>0</v>
      </c>
      <c r="AG210">
        <v>0</v>
      </c>
      <c r="AH210">
        <v>0</v>
      </c>
      <c r="AI210">
        <v>6.61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0.04</v>
      </c>
      <c r="AU210" t="s">
        <v>3</v>
      </c>
      <c r="AV210">
        <v>0</v>
      </c>
      <c r="AW210">
        <v>2</v>
      </c>
      <c r="AX210">
        <v>39617663</v>
      </c>
      <c r="AY210">
        <v>1</v>
      </c>
      <c r="AZ210">
        <v>0</v>
      </c>
      <c r="BA210">
        <v>195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Y210*Source!I128</f>
        <v>0.04</v>
      </c>
      <c r="CY210">
        <f>AA210</f>
        <v>59.75</v>
      </c>
      <c r="CZ210">
        <f>AE210</f>
        <v>9.0399999999999991</v>
      </c>
      <c r="DA210">
        <f>AI210</f>
        <v>6.61</v>
      </c>
      <c r="DB210">
        <v>0</v>
      </c>
    </row>
    <row r="211" spans="1:106" x14ac:dyDescent="0.2">
      <c r="A211">
        <f>ROW(Source!A128)</f>
        <v>128</v>
      </c>
      <c r="B211">
        <v>39616881</v>
      </c>
      <c r="C211">
        <v>39617658</v>
      </c>
      <c r="D211">
        <v>36875010</v>
      </c>
      <c r="E211">
        <v>1</v>
      </c>
      <c r="F211">
        <v>1</v>
      </c>
      <c r="G211">
        <v>1</v>
      </c>
      <c r="H211">
        <v>3</v>
      </c>
      <c r="I211" t="s">
        <v>363</v>
      </c>
      <c r="J211" t="s">
        <v>365</v>
      </c>
      <c r="K211" t="s">
        <v>364</v>
      </c>
      <c r="L211">
        <v>1354</v>
      </c>
      <c r="N211">
        <v>1010</v>
      </c>
      <c r="O211" t="s">
        <v>50</v>
      </c>
      <c r="P211" t="s">
        <v>50</v>
      </c>
      <c r="Q211">
        <v>1</v>
      </c>
      <c r="W211">
        <v>0</v>
      </c>
      <c r="X211">
        <v>-428174486</v>
      </c>
      <c r="Y211">
        <v>1</v>
      </c>
      <c r="AA211">
        <v>1579</v>
      </c>
      <c r="AB211">
        <v>0</v>
      </c>
      <c r="AC211">
        <v>0</v>
      </c>
      <c r="AD211">
        <v>0</v>
      </c>
      <c r="AE211">
        <v>238.88</v>
      </c>
      <c r="AF211">
        <v>0</v>
      </c>
      <c r="AG211">
        <v>0</v>
      </c>
      <c r="AH211">
        <v>0</v>
      </c>
      <c r="AI211">
        <v>6.61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3</v>
      </c>
      <c r="AT211">
        <v>1</v>
      </c>
      <c r="AU211" t="s">
        <v>3</v>
      </c>
      <c r="AV211">
        <v>0</v>
      </c>
      <c r="AW211">
        <v>1</v>
      </c>
      <c r="AX211">
        <v>-1</v>
      </c>
      <c r="AY211">
        <v>0</v>
      </c>
      <c r="AZ211">
        <v>0</v>
      </c>
      <c r="BA211" t="s">
        <v>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Y211*Source!I128</f>
        <v>1</v>
      </c>
      <c r="CY211">
        <f>AA211</f>
        <v>1579</v>
      </c>
      <c r="CZ211">
        <f>AE211</f>
        <v>238.88</v>
      </c>
      <c r="DA211">
        <f>AI211</f>
        <v>6.61</v>
      </c>
      <c r="DB211">
        <v>0</v>
      </c>
    </row>
    <row r="212" spans="1:106" x14ac:dyDescent="0.2">
      <c r="A212">
        <f>ROW(Source!A128)</f>
        <v>128</v>
      </c>
      <c r="B212">
        <v>39616881</v>
      </c>
      <c r="C212">
        <v>39617658</v>
      </c>
      <c r="D212">
        <v>36799065</v>
      </c>
      <c r="E212">
        <v>17</v>
      </c>
      <c r="F212">
        <v>1</v>
      </c>
      <c r="G212">
        <v>1</v>
      </c>
      <c r="H212">
        <v>3</v>
      </c>
      <c r="I212" t="s">
        <v>578</v>
      </c>
      <c r="J212" t="s">
        <v>3</v>
      </c>
      <c r="K212" t="s">
        <v>579</v>
      </c>
      <c r="L212">
        <v>1374</v>
      </c>
      <c r="N212">
        <v>1013</v>
      </c>
      <c r="O212" t="s">
        <v>580</v>
      </c>
      <c r="P212" t="s">
        <v>580</v>
      </c>
      <c r="Q212">
        <v>1</v>
      </c>
      <c r="W212">
        <v>0</v>
      </c>
      <c r="X212">
        <v>-1731369543</v>
      </c>
      <c r="Y212">
        <v>0.43</v>
      </c>
      <c r="AA212">
        <v>1</v>
      </c>
      <c r="AB212">
        <v>0</v>
      </c>
      <c r="AC212">
        <v>0</v>
      </c>
      <c r="AD212">
        <v>0</v>
      </c>
      <c r="AE212">
        <v>1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0.43</v>
      </c>
      <c r="AU212" t="s">
        <v>3</v>
      </c>
      <c r="AV212">
        <v>0</v>
      </c>
      <c r="AW212">
        <v>2</v>
      </c>
      <c r="AX212">
        <v>39617664</v>
      </c>
      <c r="AY212">
        <v>1</v>
      </c>
      <c r="AZ212">
        <v>0</v>
      </c>
      <c r="BA212">
        <v>196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Y212*Source!I128</f>
        <v>0.43</v>
      </c>
      <c r="CY212">
        <f>AA212</f>
        <v>1</v>
      </c>
      <c r="CZ212">
        <f>AE212</f>
        <v>1</v>
      </c>
      <c r="DA212">
        <f>AI212</f>
        <v>1</v>
      </c>
      <c r="DB212">
        <v>0</v>
      </c>
    </row>
    <row r="213" spans="1:106" x14ac:dyDescent="0.2">
      <c r="A213">
        <f>ROW(Source!A164)</f>
        <v>164</v>
      </c>
      <c r="B213">
        <v>39616881</v>
      </c>
      <c r="C213">
        <v>39617764</v>
      </c>
      <c r="D213">
        <v>37068110</v>
      </c>
      <c r="E213">
        <v>1</v>
      </c>
      <c r="F213">
        <v>1</v>
      </c>
      <c r="G213">
        <v>1</v>
      </c>
      <c r="H213">
        <v>1</v>
      </c>
      <c r="I213" t="s">
        <v>641</v>
      </c>
      <c r="J213" t="s">
        <v>3</v>
      </c>
      <c r="K213" t="s">
        <v>642</v>
      </c>
      <c r="L213">
        <v>1191</v>
      </c>
      <c r="N213">
        <v>1013</v>
      </c>
      <c r="O213" t="s">
        <v>459</v>
      </c>
      <c r="P213" t="s">
        <v>459</v>
      </c>
      <c r="Q213">
        <v>1</v>
      </c>
      <c r="W213">
        <v>0</v>
      </c>
      <c r="X213">
        <v>-576067263</v>
      </c>
      <c r="Y213">
        <v>1.03</v>
      </c>
      <c r="AA213">
        <v>0</v>
      </c>
      <c r="AB213">
        <v>0</v>
      </c>
      <c r="AC213">
        <v>0</v>
      </c>
      <c r="AD213">
        <v>47.53</v>
      </c>
      <c r="AE213">
        <v>0</v>
      </c>
      <c r="AF213">
        <v>0</v>
      </c>
      <c r="AG213">
        <v>0</v>
      </c>
      <c r="AH213">
        <v>7.19</v>
      </c>
      <c r="AI213">
        <v>1</v>
      </c>
      <c r="AJ213">
        <v>1</v>
      </c>
      <c r="AK213">
        <v>1</v>
      </c>
      <c r="AL213">
        <v>6.61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1.03</v>
      </c>
      <c r="AU213" t="s">
        <v>3</v>
      </c>
      <c r="AV213">
        <v>1</v>
      </c>
      <c r="AW213">
        <v>2</v>
      </c>
      <c r="AX213">
        <v>39617765</v>
      </c>
      <c r="AY213">
        <v>1</v>
      </c>
      <c r="AZ213">
        <v>0</v>
      </c>
      <c r="BA213">
        <v>197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Y213*Source!I164</f>
        <v>12.7102</v>
      </c>
      <c r="CY213">
        <f>AD213</f>
        <v>47.53</v>
      </c>
      <c r="CZ213">
        <f>AH213</f>
        <v>7.19</v>
      </c>
      <c r="DA213">
        <f>AL213</f>
        <v>6.61</v>
      </c>
      <c r="DB213">
        <v>0</v>
      </c>
    </row>
    <row r="214" spans="1:106" x14ac:dyDescent="0.2">
      <c r="A214">
        <f>ROW(Source!A164)</f>
        <v>164</v>
      </c>
      <c r="B214">
        <v>39616881</v>
      </c>
      <c r="C214">
        <v>39617764</v>
      </c>
      <c r="D214">
        <v>36805490</v>
      </c>
      <c r="E214">
        <v>1</v>
      </c>
      <c r="F214">
        <v>1</v>
      </c>
      <c r="G214">
        <v>1</v>
      </c>
      <c r="H214">
        <v>3</v>
      </c>
      <c r="I214" t="s">
        <v>643</v>
      </c>
      <c r="J214" t="s">
        <v>644</v>
      </c>
      <c r="K214" t="s">
        <v>645</v>
      </c>
      <c r="L214">
        <v>1355</v>
      </c>
      <c r="N214">
        <v>1010</v>
      </c>
      <c r="O214" t="s">
        <v>90</v>
      </c>
      <c r="P214" t="s">
        <v>90</v>
      </c>
      <c r="Q214">
        <v>100</v>
      </c>
      <c r="W214">
        <v>0</v>
      </c>
      <c r="X214">
        <v>1092967459</v>
      </c>
      <c r="Y214">
        <v>0.2</v>
      </c>
      <c r="AA214">
        <v>542.02</v>
      </c>
      <c r="AB214">
        <v>0</v>
      </c>
      <c r="AC214">
        <v>0</v>
      </c>
      <c r="AD214">
        <v>0</v>
      </c>
      <c r="AE214">
        <v>82</v>
      </c>
      <c r="AF214">
        <v>0</v>
      </c>
      <c r="AG214">
        <v>0</v>
      </c>
      <c r="AH214">
        <v>0</v>
      </c>
      <c r="AI214">
        <v>6.61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0.2</v>
      </c>
      <c r="AU214" t="s">
        <v>3</v>
      </c>
      <c r="AV214">
        <v>0</v>
      </c>
      <c r="AW214">
        <v>2</v>
      </c>
      <c r="AX214">
        <v>39617766</v>
      </c>
      <c r="AY214">
        <v>1</v>
      </c>
      <c r="AZ214">
        <v>0</v>
      </c>
      <c r="BA214">
        <v>198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Y214*Source!I164</f>
        <v>2.468</v>
      </c>
      <c r="CY214">
        <f>AA214</f>
        <v>542.02</v>
      </c>
      <c r="CZ214">
        <f>AE214</f>
        <v>82</v>
      </c>
      <c r="DA214">
        <f>AI214</f>
        <v>6.61</v>
      </c>
      <c r="DB21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39617370</v>
      </c>
      <c r="C1">
        <v>39617340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457</v>
      </c>
      <c r="J1" t="s">
        <v>3</v>
      </c>
      <c r="K1" t="s">
        <v>458</v>
      </c>
      <c r="L1">
        <v>1191</v>
      </c>
      <c r="N1">
        <v>1013</v>
      </c>
      <c r="O1" t="s">
        <v>459</v>
      </c>
      <c r="P1" t="s">
        <v>459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3</v>
      </c>
      <c r="AG1">
        <v>3.77</v>
      </c>
      <c r="AH1">
        <v>2</v>
      </c>
      <c r="AI1">
        <v>39617370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39617371</v>
      </c>
      <c r="C2">
        <v>39617340</v>
      </c>
      <c r="D2">
        <v>36799072</v>
      </c>
      <c r="E2">
        <v>17</v>
      </c>
      <c r="F2">
        <v>1</v>
      </c>
      <c r="G2">
        <v>1</v>
      </c>
      <c r="H2">
        <v>3</v>
      </c>
      <c r="I2" t="s">
        <v>646</v>
      </c>
      <c r="J2" t="s">
        <v>3</v>
      </c>
      <c r="K2" t="s">
        <v>647</v>
      </c>
      <c r="L2">
        <v>1348</v>
      </c>
      <c r="N2">
        <v>1009</v>
      </c>
      <c r="O2" t="s">
        <v>72</v>
      </c>
      <c r="P2" t="s">
        <v>72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3</v>
      </c>
      <c r="AG2">
        <v>0.11</v>
      </c>
      <c r="AH2">
        <v>3</v>
      </c>
      <c r="AI2">
        <v>-1</v>
      </c>
      <c r="AJ2" t="s">
        <v>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ROW(Source!A29)</f>
        <v>29</v>
      </c>
      <c r="B3">
        <v>39617373</v>
      </c>
      <c r="C3">
        <v>39617341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457</v>
      </c>
      <c r="J3" t="s">
        <v>3</v>
      </c>
      <c r="K3" t="s">
        <v>458</v>
      </c>
      <c r="L3">
        <v>1191</v>
      </c>
      <c r="N3">
        <v>1013</v>
      </c>
      <c r="O3" t="s">
        <v>459</v>
      </c>
      <c r="P3" t="s">
        <v>459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11.39</v>
      </c>
      <c r="AH3">
        <v>2</v>
      </c>
      <c r="AI3">
        <v>39617373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39617374</v>
      </c>
      <c r="C4">
        <v>39617341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460</v>
      </c>
      <c r="J4" t="s">
        <v>3</v>
      </c>
      <c r="K4" t="s">
        <v>461</v>
      </c>
      <c r="L4">
        <v>1191</v>
      </c>
      <c r="N4">
        <v>1013</v>
      </c>
      <c r="O4" t="s">
        <v>459</v>
      </c>
      <c r="P4" t="s">
        <v>459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</v>
      </c>
      <c r="AG4">
        <v>0.13</v>
      </c>
      <c r="AH4">
        <v>2</v>
      </c>
      <c r="AI4">
        <v>39617374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39617375</v>
      </c>
      <c r="C5">
        <v>39617341</v>
      </c>
      <c r="D5">
        <v>36882452</v>
      </c>
      <c r="E5">
        <v>1</v>
      </c>
      <c r="F5">
        <v>1</v>
      </c>
      <c r="G5">
        <v>1</v>
      </c>
      <c r="H5">
        <v>2</v>
      </c>
      <c r="I5" t="s">
        <v>462</v>
      </c>
      <c r="J5" t="s">
        <v>463</v>
      </c>
      <c r="K5" t="s">
        <v>464</v>
      </c>
      <c r="L5">
        <v>1368</v>
      </c>
      <c r="N5">
        <v>1011</v>
      </c>
      <c r="O5" t="s">
        <v>465</v>
      </c>
      <c r="P5" t="s">
        <v>465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0.13</v>
      </c>
      <c r="AH5">
        <v>2</v>
      </c>
      <c r="AI5">
        <v>39617375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39617376</v>
      </c>
      <c r="C6">
        <v>39617341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646</v>
      </c>
      <c r="J6" t="s">
        <v>3</v>
      </c>
      <c r="K6" t="s">
        <v>647</v>
      </c>
      <c r="L6">
        <v>1348</v>
      </c>
      <c r="N6">
        <v>1009</v>
      </c>
      <c r="O6" t="s">
        <v>72</v>
      </c>
      <c r="P6" t="s">
        <v>72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0.47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39617378</v>
      </c>
      <c r="C7">
        <v>39617342</v>
      </c>
      <c r="D7">
        <v>37064878</v>
      </c>
      <c r="E7">
        <v>1</v>
      </c>
      <c r="F7">
        <v>1</v>
      </c>
      <c r="G7">
        <v>1</v>
      </c>
      <c r="H7">
        <v>1</v>
      </c>
      <c r="I7" t="s">
        <v>466</v>
      </c>
      <c r="J7" t="s">
        <v>3</v>
      </c>
      <c r="K7" t="s">
        <v>467</v>
      </c>
      <c r="L7">
        <v>1191</v>
      </c>
      <c r="N7">
        <v>1013</v>
      </c>
      <c r="O7" t="s">
        <v>459</v>
      </c>
      <c r="P7" t="s">
        <v>459</v>
      </c>
      <c r="Q7">
        <v>1</v>
      </c>
      <c r="X7">
        <v>102.46</v>
      </c>
      <c r="Y7">
        <v>0</v>
      </c>
      <c r="Z7">
        <v>0</v>
      </c>
      <c r="AA7">
        <v>0</v>
      </c>
      <c r="AB7">
        <v>9.4</v>
      </c>
      <c r="AC7">
        <v>0</v>
      </c>
      <c r="AD7">
        <v>1</v>
      </c>
      <c r="AE7">
        <v>1</v>
      </c>
      <c r="AF7" t="s">
        <v>33</v>
      </c>
      <c r="AG7">
        <v>117.82899999999998</v>
      </c>
      <c r="AH7">
        <v>2</v>
      </c>
      <c r="AI7">
        <v>39617378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39617379</v>
      </c>
      <c r="C8">
        <v>39617342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460</v>
      </c>
      <c r="J8" t="s">
        <v>3</v>
      </c>
      <c r="K8" t="s">
        <v>461</v>
      </c>
      <c r="L8">
        <v>1191</v>
      </c>
      <c r="N8">
        <v>1013</v>
      </c>
      <c r="O8" t="s">
        <v>459</v>
      </c>
      <c r="P8" t="s">
        <v>459</v>
      </c>
      <c r="Q8">
        <v>1</v>
      </c>
      <c r="X8">
        <v>5.34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32</v>
      </c>
      <c r="AG8">
        <v>6.6749999999999998</v>
      </c>
      <c r="AH8">
        <v>2</v>
      </c>
      <c r="AI8">
        <v>39617379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39617380</v>
      </c>
      <c r="C9">
        <v>39617342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462</v>
      </c>
      <c r="J9" t="s">
        <v>463</v>
      </c>
      <c r="K9" t="s">
        <v>464</v>
      </c>
      <c r="L9">
        <v>1368</v>
      </c>
      <c r="N9">
        <v>1011</v>
      </c>
      <c r="O9" t="s">
        <v>465</v>
      </c>
      <c r="P9" t="s">
        <v>465</v>
      </c>
      <c r="Q9">
        <v>1</v>
      </c>
      <c r="X9">
        <v>0.76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32</v>
      </c>
      <c r="AG9">
        <v>0.95</v>
      </c>
      <c r="AH9">
        <v>2</v>
      </c>
      <c r="AI9">
        <v>39617380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39617381</v>
      </c>
      <c r="C10">
        <v>39617342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468</v>
      </c>
      <c r="J10" t="s">
        <v>469</v>
      </c>
      <c r="K10" t="s">
        <v>470</v>
      </c>
      <c r="L10">
        <v>1368</v>
      </c>
      <c r="N10">
        <v>1011</v>
      </c>
      <c r="O10" t="s">
        <v>465</v>
      </c>
      <c r="P10" t="s">
        <v>465</v>
      </c>
      <c r="Q10">
        <v>1</v>
      </c>
      <c r="X10">
        <v>4.58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32</v>
      </c>
      <c r="AG10">
        <v>5.7249999999999996</v>
      </c>
      <c r="AH10">
        <v>2</v>
      </c>
      <c r="AI10">
        <v>39617381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39617382</v>
      </c>
      <c r="C11">
        <v>39617342</v>
      </c>
      <c r="D11">
        <v>36801649</v>
      </c>
      <c r="E11">
        <v>1</v>
      </c>
      <c r="F11">
        <v>1</v>
      </c>
      <c r="G11">
        <v>1</v>
      </c>
      <c r="H11">
        <v>3</v>
      </c>
      <c r="I11" t="s">
        <v>471</v>
      </c>
      <c r="J11" t="s">
        <v>472</v>
      </c>
      <c r="K11" t="s">
        <v>473</v>
      </c>
      <c r="L11">
        <v>1327</v>
      </c>
      <c r="N11">
        <v>1005</v>
      </c>
      <c r="O11" t="s">
        <v>67</v>
      </c>
      <c r="P11" t="s">
        <v>67</v>
      </c>
      <c r="Q11">
        <v>1</v>
      </c>
      <c r="X11">
        <v>103</v>
      </c>
      <c r="Y11">
        <v>51.8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103</v>
      </c>
      <c r="AH11">
        <v>2</v>
      </c>
      <c r="AI11">
        <v>39617382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39617383</v>
      </c>
      <c r="C12">
        <v>39617343</v>
      </c>
      <c r="D12">
        <v>37065248</v>
      </c>
      <c r="E12">
        <v>1</v>
      </c>
      <c r="F12">
        <v>1</v>
      </c>
      <c r="G12">
        <v>1</v>
      </c>
      <c r="H12">
        <v>1</v>
      </c>
      <c r="I12" t="s">
        <v>474</v>
      </c>
      <c r="J12" t="s">
        <v>3</v>
      </c>
      <c r="K12" t="s">
        <v>475</v>
      </c>
      <c r="L12">
        <v>1191</v>
      </c>
      <c r="N12">
        <v>1013</v>
      </c>
      <c r="O12" t="s">
        <v>459</v>
      </c>
      <c r="P12" t="s">
        <v>459</v>
      </c>
      <c r="Q12">
        <v>1</v>
      </c>
      <c r="X12">
        <v>46.19</v>
      </c>
      <c r="Y12">
        <v>0</v>
      </c>
      <c r="Z12">
        <v>0</v>
      </c>
      <c r="AA12">
        <v>0</v>
      </c>
      <c r="AB12">
        <v>8.5299999999999994</v>
      </c>
      <c r="AC12">
        <v>0</v>
      </c>
      <c r="AD12">
        <v>1</v>
      </c>
      <c r="AE12">
        <v>1</v>
      </c>
      <c r="AF12" t="s">
        <v>3</v>
      </c>
      <c r="AG12">
        <v>46.19</v>
      </c>
      <c r="AH12">
        <v>2</v>
      </c>
      <c r="AI12">
        <v>39617383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ROW(Source!A31)</f>
        <v>31</v>
      </c>
      <c r="B13">
        <v>39617384</v>
      </c>
      <c r="C13">
        <v>39617343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460</v>
      </c>
      <c r="J13" t="s">
        <v>3</v>
      </c>
      <c r="K13" t="s">
        <v>461</v>
      </c>
      <c r="L13">
        <v>1191</v>
      </c>
      <c r="N13">
        <v>1013</v>
      </c>
      <c r="O13" t="s">
        <v>459</v>
      </c>
      <c r="P13" t="s">
        <v>459</v>
      </c>
      <c r="Q13">
        <v>1</v>
      </c>
      <c r="X13">
        <v>0.01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</v>
      </c>
      <c r="AF13" t="s">
        <v>3</v>
      </c>
      <c r="AG13">
        <v>0.01</v>
      </c>
      <c r="AH13">
        <v>2</v>
      </c>
      <c r="AI13">
        <v>39617384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39617385</v>
      </c>
      <c r="C14">
        <v>39617343</v>
      </c>
      <c r="D14">
        <v>36882452</v>
      </c>
      <c r="E14">
        <v>1</v>
      </c>
      <c r="F14">
        <v>1</v>
      </c>
      <c r="G14">
        <v>1</v>
      </c>
      <c r="H14">
        <v>2</v>
      </c>
      <c r="I14" t="s">
        <v>462</v>
      </c>
      <c r="J14" t="s">
        <v>463</v>
      </c>
      <c r="K14" t="s">
        <v>464</v>
      </c>
      <c r="L14">
        <v>1368</v>
      </c>
      <c r="N14">
        <v>1011</v>
      </c>
      <c r="O14" t="s">
        <v>465</v>
      </c>
      <c r="P14" t="s">
        <v>465</v>
      </c>
      <c r="Q14">
        <v>1</v>
      </c>
      <c r="X14">
        <v>0.01</v>
      </c>
      <c r="Y14">
        <v>0</v>
      </c>
      <c r="Z14">
        <v>31.26</v>
      </c>
      <c r="AA14">
        <v>13.5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0.01</v>
      </c>
      <c r="AH14">
        <v>2</v>
      </c>
      <c r="AI14">
        <v>39617385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39617386</v>
      </c>
      <c r="C15">
        <v>39617343</v>
      </c>
      <c r="D15">
        <v>36801792</v>
      </c>
      <c r="E15">
        <v>1</v>
      </c>
      <c r="F15">
        <v>1</v>
      </c>
      <c r="G15">
        <v>1</v>
      </c>
      <c r="H15">
        <v>3</v>
      </c>
      <c r="I15" t="s">
        <v>476</v>
      </c>
      <c r="J15" t="s">
        <v>477</v>
      </c>
      <c r="K15" t="s">
        <v>478</v>
      </c>
      <c r="L15">
        <v>1339</v>
      </c>
      <c r="N15">
        <v>1007</v>
      </c>
      <c r="O15" t="s">
        <v>119</v>
      </c>
      <c r="P15" t="s">
        <v>119</v>
      </c>
      <c r="Q15">
        <v>1</v>
      </c>
      <c r="X15">
        <v>0.02</v>
      </c>
      <c r="Y15">
        <v>2.44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0.02</v>
      </c>
      <c r="AH15">
        <v>2</v>
      </c>
      <c r="AI15">
        <v>39617386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39617387</v>
      </c>
      <c r="C16">
        <v>39617343</v>
      </c>
      <c r="D16">
        <v>36799072</v>
      </c>
      <c r="E16">
        <v>17</v>
      </c>
      <c r="F16">
        <v>1</v>
      </c>
      <c r="G16">
        <v>1</v>
      </c>
      <c r="H16">
        <v>3</v>
      </c>
      <c r="I16" t="s">
        <v>646</v>
      </c>
      <c r="J16" t="s">
        <v>3</v>
      </c>
      <c r="K16" t="s">
        <v>647</v>
      </c>
      <c r="L16">
        <v>1348</v>
      </c>
      <c r="N16">
        <v>1009</v>
      </c>
      <c r="O16" t="s">
        <v>72</v>
      </c>
      <c r="P16" t="s">
        <v>72</v>
      </c>
      <c r="Q16">
        <v>1000</v>
      </c>
      <c r="X16">
        <v>7.0000000000000007E-2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3</v>
      </c>
      <c r="AG16">
        <v>7.0000000000000007E-2</v>
      </c>
      <c r="AH16">
        <v>3</v>
      </c>
      <c r="AI16">
        <v>-1</v>
      </c>
      <c r="AJ16" t="s">
        <v>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39617388</v>
      </c>
      <c r="C17">
        <v>39617343</v>
      </c>
      <c r="D17">
        <v>36806488</v>
      </c>
      <c r="E17">
        <v>1</v>
      </c>
      <c r="F17">
        <v>1</v>
      </c>
      <c r="G17">
        <v>1</v>
      </c>
      <c r="H17">
        <v>3</v>
      </c>
      <c r="I17" t="s">
        <v>479</v>
      </c>
      <c r="J17" t="s">
        <v>480</v>
      </c>
      <c r="K17" t="s">
        <v>481</v>
      </c>
      <c r="L17">
        <v>1348</v>
      </c>
      <c r="N17">
        <v>1009</v>
      </c>
      <c r="O17" t="s">
        <v>72</v>
      </c>
      <c r="P17" t="s">
        <v>72</v>
      </c>
      <c r="Q17">
        <v>1000</v>
      </c>
      <c r="X17">
        <v>0.05</v>
      </c>
      <c r="Y17">
        <v>729.98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0.05</v>
      </c>
      <c r="AH17">
        <v>2</v>
      </c>
      <c r="AI17">
        <v>39617388</v>
      </c>
      <c r="AJ17">
        <v>14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39617389</v>
      </c>
      <c r="C18">
        <v>39617343</v>
      </c>
      <c r="D18">
        <v>36797832</v>
      </c>
      <c r="E18">
        <v>17</v>
      </c>
      <c r="F18">
        <v>1</v>
      </c>
      <c r="G18">
        <v>1</v>
      </c>
      <c r="H18">
        <v>3</v>
      </c>
      <c r="I18" t="s">
        <v>53</v>
      </c>
      <c r="J18" t="s">
        <v>3</v>
      </c>
      <c r="K18" t="s">
        <v>54</v>
      </c>
      <c r="L18">
        <v>1354</v>
      </c>
      <c r="N18">
        <v>1010</v>
      </c>
      <c r="O18" t="s">
        <v>50</v>
      </c>
      <c r="P18" t="s">
        <v>50</v>
      </c>
      <c r="Q18">
        <v>1</v>
      </c>
      <c r="X18">
        <v>100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3</v>
      </c>
      <c r="AG18">
        <v>100</v>
      </c>
      <c r="AH18">
        <v>2</v>
      </c>
      <c r="AI18">
        <v>39617389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39617396</v>
      </c>
      <c r="C19">
        <v>39617395</v>
      </c>
      <c r="D19">
        <v>37066837</v>
      </c>
      <c r="E19">
        <v>1</v>
      </c>
      <c r="F19">
        <v>1</v>
      </c>
      <c r="G19">
        <v>1</v>
      </c>
      <c r="H19">
        <v>1</v>
      </c>
      <c r="I19" t="s">
        <v>482</v>
      </c>
      <c r="J19" t="s">
        <v>3</v>
      </c>
      <c r="K19" t="s">
        <v>483</v>
      </c>
      <c r="L19">
        <v>1191</v>
      </c>
      <c r="N19">
        <v>1013</v>
      </c>
      <c r="O19" t="s">
        <v>459</v>
      </c>
      <c r="P19" t="s">
        <v>459</v>
      </c>
      <c r="Q19">
        <v>1</v>
      </c>
      <c r="X19">
        <v>38.119999999999997</v>
      </c>
      <c r="Y19">
        <v>0</v>
      </c>
      <c r="Z19">
        <v>0</v>
      </c>
      <c r="AA19">
        <v>0</v>
      </c>
      <c r="AB19">
        <v>8.31</v>
      </c>
      <c r="AC19">
        <v>0</v>
      </c>
      <c r="AD19">
        <v>1</v>
      </c>
      <c r="AE19">
        <v>1</v>
      </c>
      <c r="AF19" t="s">
        <v>3</v>
      </c>
      <c r="AG19">
        <v>38.119999999999997</v>
      </c>
      <c r="AH19">
        <v>2</v>
      </c>
      <c r="AI19">
        <v>39617396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ROW(Source!A34)</f>
        <v>34</v>
      </c>
      <c r="B20">
        <v>39617397</v>
      </c>
      <c r="C20">
        <v>39617395</v>
      </c>
      <c r="D20">
        <v>37064876</v>
      </c>
      <c r="E20">
        <v>1</v>
      </c>
      <c r="F20">
        <v>1</v>
      </c>
      <c r="G20">
        <v>1</v>
      </c>
      <c r="H20">
        <v>1</v>
      </c>
      <c r="I20" t="s">
        <v>460</v>
      </c>
      <c r="J20" t="s">
        <v>3</v>
      </c>
      <c r="K20" t="s">
        <v>461</v>
      </c>
      <c r="L20">
        <v>1191</v>
      </c>
      <c r="N20">
        <v>1013</v>
      </c>
      <c r="O20" t="s">
        <v>459</v>
      </c>
      <c r="P20" t="s">
        <v>459</v>
      </c>
      <c r="Q20">
        <v>1</v>
      </c>
      <c r="X20">
        <v>0.18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3</v>
      </c>
      <c r="AG20">
        <v>0.18</v>
      </c>
      <c r="AH20">
        <v>2</v>
      </c>
      <c r="AI20">
        <v>39617397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39617398</v>
      </c>
      <c r="C21">
        <v>39617395</v>
      </c>
      <c r="D21">
        <v>36882452</v>
      </c>
      <c r="E21">
        <v>1</v>
      </c>
      <c r="F21">
        <v>1</v>
      </c>
      <c r="G21">
        <v>1</v>
      </c>
      <c r="H21">
        <v>2</v>
      </c>
      <c r="I21" t="s">
        <v>462</v>
      </c>
      <c r="J21" t="s">
        <v>463</v>
      </c>
      <c r="K21" t="s">
        <v>464</v>
      </c>
      <c r="L21">
        <v>1368</v>
      </c>
      <c r="N21">
        <v>1011</v>
      </c>
      <c r="O21" t="s">
        <v>465</v>
      </c>
      <c r="P21" t="s">
        <v>465</v>
      </c>
      <c r="Q21">
        <v>1</v>
      </c>
      <c r="X21">
        <v>0.1</v>
      </c>
      <c r="Y21">
        <v>0</v>
      </c>
      <c r="Z21">
        <v>31.26</v>
      </c>
      <c r="AA21">
        <v>13.5</v>
      </c>
      <c r="AB21">
        <v>0</v>
      </c>
      <c r="AC21">
        <v>0</v>
      </c>
      <c r="AD21">
        <v>1</v>
      </c>
      <c r="AE21">
        <v>0</v>
      </c>
      <c r="AF21" t="s">
        <v>3</v>
      </c>
      <c r="AG21">
        <v>0.1</v>
      </c>
      <c r="AH21">
        <v>2</v>
      </c>
      <c r="AI21">
        <v>39617398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39617399</v>
      </c>
      <c r="C22">
        <v>39617395</v>
      </c>
      <c r="D22">
        <v>36883554</v>
      </c>
      <c r="E22">
        <v>1</v>
      </c>
      <c r="F22">
        <v>1</v>
      </c>
      <c r="G22">
        <v>1</v>
      </c>
      <c r="H22">
        <v>2</v>
      </c>
      <c r="I22" t="s">
        <v>468</v>
      </c>
      <c r="J22" t="s">
        <v>469</v>
      </c>
      <c r="K22" t="s">
        <v>470</v>
      </c>
      <c r="L22">
        <v>1368</v>
      </c>
      <c r="N22">
        <v>1011</v>
      </c>
      <c r="O22" t="s">
        <v>465</v>
      </c>
      <c r="P22" t="s">
        <v>465</v>
      </c>
      <c r="Q22">
        <v>1</v>
      </c>
      <c r="X22">
        <v>0.08</v>
      </c>
      <c r="Y22">
        <v>0</v>
      </c>
      <c r="Z22">
        <v>65.709999999999994</v>
      </c>
      <c r="AA22">
        <v>11.6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0.08</v>
      </c>
      <c r="AH22">
        <v>2</v>
      </c>
      <c r="AI22">
        <v>39617399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39617400</v>
      </c>
      <c r="C23">
        <v>39617395</v>
      </c>
      <c r="D23">
        <v>36831355</v>
      </c>
      <c r="E23">
        <v>1</v>
      </c>
      <c r="F23">
        <v>1</v>
      </c>
      <c r="G23">
        <v>1</v>
      </c>
      <c r="H23">
        <v>3</v>
      </c>
      <c r="I23" t="s">
        <v>484</v>
      </c>
      <c r="J23" t="s">
        <v>485</v>
      </c>
      <c r="K23" t="s">
        <v>486</v>
      </c>
      <c r="L23">
        <v>1328</v>
      </c>
      <c r="N23">
        <v>1005</v>
      </c>
      <c r="O23" t="s">
        <v>25</v>
      </c>
      <c r="P23" t="s">
        <v>25</v>
      </c>
      <c r="Q23">
        <v>100</v>
      </c>
      <c r="X23">
        <v>1.02</v>
      </c>
      <c r="Y23">
        <v>2275.5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1.02</v>
      </c>
      <c r="AH23">
        <v>2</v>
      </c>
      <c r="AI23">
        <v>39617400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39617401</v>
      </c>
      <c r="C24">
        <v>39617395</v>
      </c>
      <c r="D24">
        <v>36838898</v>
      </c>
      <c r="E24">
        <v>1</v>
      </c>
      <c r="F24">
        <v>1</v>
      </c>
      <c r="G24">
        <v>1</v>
      </c>
      <c r="H24">
        <v>3</v>
      </c>
      <c r="I24" t="s">
        <v>487</v>
      </c>
      <c r="J24" t="s">
        <v>488</v>
      </c>
      <c r="K24" t="s">
        <v>489</v>
      </c>
      <c r="L24">
        <v>1346</v>
      </c>
      <c r="N24">
        <v>1009</v>
      </c>
      <c r="O24" t="s">
        <v>77</v>
      </c>
      <c r="P24" t="s">
        <v>77</v>
      </c>
      <c r="Q24">
        <v>1</v>
      </c>
      <c r="X24">
        <v>133</v>
      </c>
      <c r="Y24">
        <v>8.36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133</v>
      </c>
      <c r="AH24">
        <v>2</v>
      </c>
      <c r="AI24">
        <v>39617401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ROW(Source!A35)</f>
        <v>35</v>
      </c>
      <c r="B25">
        <v>39617491</v>
      </c>
      <c r="C25">
        <v>39617490</v>
      </c>
      <c r="D25">
        <v>37066837</v>
      </c>
      <c r="E25">
        <v>1</v>
      </c>
      <c r="F25">
        <v>1</v>
      </c>
      <c r="G25">
        <v>1</v>
      </c>
      <c r="H25">
        <v>1</v>
      </c>
      <c r="I25" t="s">
        <v>482</v>
      </c>
      <c r="J25" t="s">
        <v>3</v>
      </c>
      <c r="K25" t="s">
        <v>483</v>
      </c>
      <c r="L25">
        <v>1191</v>
      </c>
      <c r="N25">
        <v>1013</v>
      </c>
      <c r="O25" t="s">
        <v>459</v>
      </c>
      <c r="P25" t="s">
        <v>459</v>
      </c>
      <c r="Q25">
        <v>1</v>
      </c>
      <c r="X25">
        <v>42.4</v>
      </c>
      <c r="Y25">
        <v>0</v>
      </c>
      <c r="Z25">
        <v>0</v>
      </c>
      <c r="AA25">
        <v>0</v>
      </c>
      <c r="AB25">
        <v>8.31</v>
      </c>
      <c r="AC25">
        <v>0</v>
      </c>
      <c r="AD25">
        <v>1</v>
      </c>
      <c r="AE25">
        <v>1</v>
      </c>
      <c r="AF25" t="s">
        <v>33</v>
      </c>
      <c r="AG25">
        <v>48.76</v>
      </c>
      <c r="AH25">
        <v>2</v>
      </c>
      <c r="AI25">
        <v>39617491</v>
      </c>
      <c r="AJ25">
        <v>23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ROW(Source!A35)</f>
        <v>35</v>
      </c>
      <c r="B26">
        <v>39617492</v>
      </c>
      <c r="C26">
        <v>39617490</v>
      </c>
      <c r="D26">
        <v>37064876</v>
      </c>
      <c r="E26">
        <v>1</v>
      </c>
      <c r="F26">
        <v>1</v>
      </c>
      <c r="G26">
        <v>1</v>
      </c>
      <c r="H26">
        <v>1</v>
      </c>
      <c r="I26" t="s">
        <v>460</v>
      </c>
      <c r="J26" t="s">
        <v>3</v>
      </c>
      <c r="K26" t="s">
        <v>461</v>
      </c>
      <c r="L26">
        <v>1191</v>
      </c>
      <c r="N26">
        <v>1013</v>
      </c>
      <c r="O26" t="s">
        <v>459</v>
      </c>
      <c r="P26" t="s">
        <v>459</v>
      </c>
      <c r="Q26">
        <v>1</v>
      </c>
      <c r="X26">
        <v>0.85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32</v>
      </c>
      <c r="AG26">
        <v>1.0625</v>
      </c>
      <c r="AH26">
        <v>2</v>
      </c>
      <c r="AI26">
        <v>39617492</v>
      </c>
      <c r="AJ26">
        <v>24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ROW(Source!A35)</f>
        <v>35</v>
      </c>
      <c r="B27">
        <v>39617493</v>
      </c>
      <c r="C27">
        <v>39617490</v>
      </c>
      <c r="D27">
        <v>36882452</v>
      </c>
      <c r="E27">
        <v>1</v>
      </c>
      <c r="F27">
        <v>1</v>
      </c>
      <c r="G27">
        <v>1</v>
      </c>
      <c r="H27">
        <v>2</v>
      </c>
      <c r="I27" t="s">
        <v>462</v>
      </c>
      <c r="J27" t="s">
        <v>463</v>
      </c>
      <c r="K27" t="s">
        <v>464</v>
      </c>
      <c r="L27">
        <v>1368</v>
      </c>
      <c r="N27">
        <v>1011</v>
      </c>
      <c r="O27" t="s">
        <v>465</v>
      </c>
      <c r="P27" t="s">
        <v>465</v>
      </c>
      <c r="Q27">
        <v>1</v>
      </c>
      <c r="X27">
        <v>0.35</v>
      </c>
      <c r="Y27">
        <v>0</v>
      </c>
      <c r="Z27">
        <v>31.26</v>
      </c>
      <c r="AA27">
        <v>13.5</v>
      </c>
      <c r="AB27">
        <v>0</v>
      </c>
      <c r="AC27">
        <v>0</v>
      </c>
      <c r="AD27">
        <v>1</v>
      </c>
      <c r="AE27">
        <v>0</v>
      </c>
      <c r="AF27" t="s">
        <v>32</v>
      </c>
      <c r="AG27">
        <v>0.4375</v>
      </c>
      <c r="AH27">
        <v>2</v>
      </c>
      <c r="AI27">
        <v>39617493</v>
      </c>
      <c r="AJ27">
        <v>25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ROW(Source!A35)</f>
        <v>35</v>
      </c>
      <c r="B28">
        <v>39617494</v>
      </c>
      <c r="C28">
        <v>39617490</v>
      </c>
      <c r="D28">
        <v>36883554</v>
      </c>
      <c r="E28">
        <v>1</v>
      </c>
      <c r="F28">
        <v>1</v>
      </c>
      <c r="G28">
        <v>1</v>
      </c>
      <c r="H28">
        <v>2</v>
      </c>
      <c r="I28" t="s">
        <v>468</v>
      </c>
      <c r="J28" t="s">
        <v>469</v>
      </c>
      <c r="K28" t="s">
        <v>470</v>
      </c>
      <c r="L28">
        <v>1368</v>
      </c>
      <c r="N28">
        <v>1011</v>
      </c>
      <c r="O28" t="s">
        <v>465</v>
      </c>
      <c r="P28" t="s">
        <v>465</v>
      </c>
      <c r="Q28">
        <v>1</v>
      </c>
      <c r="X28">
        <v>0.5</v>
      </c>
      <c r="Y28">
        <v>0</v>
      </c>
      <c r="Z28">
        <v>65.709999999999994</v>
      </c>
      <c r="AA28">
        <v>11.6</v>
      </c>
      <c r="AB28">
        <v>0</v>
      </c>
      <c r="AC28">
        <v>0</v>
      </c>
      <c r="AD28">
        <v>1</v>
      </c>
      <c r="AE28">
        <v>0</v>
      </c>
      <c r="AF28" t="s">
        <v>32</v>
      </c>
      <c r="AG28">
        <v>0.625</v>
      </c>
      <c r="AH28">
        <v>2</v>
      </c>
      <c r="AI28">
        <v>39617494</v>
      </c>
      <c r="AJ28">
        <v>26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ROW(Source!A35)</f>
        <v>35</v>
      </c>
      <c r="B29">
        <v>39617495</v>
      </c>
      <c r="C29">
        <v>39617490</v>
      </c>
      <c r="D29">
        <v>36797243</v>
      </c>
      <c r="E29">
        <v>17</v>
      </c>
      <c r="F29">
        <v>1</v>
      </c>
      <c r="G29">
        <v>1</v>
      </c>
      <c r="H29">
        <v>3</v>
      </c>
      <c r="I29" t="s">
        <v>648</v>
      </c>
      <c r="J29" t="s">
        <v>3</v>
      </c>
      <c r="K29" t="s">
        <v>649</v>
      </c>
      <c r="L29">
        <v>1327</v>
      </c>
      <c r="N29">
        <v>1005</v>
      </c>
      <c r="O29" t="s">
        <v>67</v>
      </c>
      <c r="P29" t="s">
        <v>67</v>
      </c>
      <c r="Q29">
        <v>1</v>
      </c>
      <c r="X29">
        <v>102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3</v>
      </c>
      <c r="AG29">
        <v>102</v>
      </c>
      <c r="AH29">
        <v>3</v>
      </c>
      <c r="AI29">
        <v>-1</v>
      </c>
      <c r="AJ29" t="s">
        <v>3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39617496</v>
      </c>
      <c r="C30">
        <v>39617490</v>
      </c>
      <c r="D30">
        <v>36805524</v>
      </c>
      <c r="E30">
        <v>1</v>
      </c>
      <c r="F30">
        <v>1</v>
      </c>
      <c r="G30">
        <v>1</v>
      </c>
      <c r="H30">
        <v>3</v>
      </c>
      <c r="I30" t="s">
        <v>490</v>
      </c>
      <c r="J30" t="s">
        <v>491</v>
      </c>
      <c r="K30" t="s">
        <v>492</v>
      </c>
      <c r="L30">
        <v>1346</v>
      </c>
      <c r="N30">
        <v>1009</v>
      </c>
      <c r="O30" t="s">
        <v>77</v>
      </c>
      <c r="P30" t="s">
        <v>77</v>
      </c>
      <c r="Q30">
        <v>1</v>
      </c>
      <c r="X30">
        <v>0.5</v>
      </c>
      <c r="Y30">
        <v>1.82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0.5</v>
      </c>
      <c r="AH30">
        <v>2</v>
      </c>
      <c r="AI30">
        <v>39617496</v>
      </c>
      <c r="AJ30">
        <v>28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39617497</v>
      </c>
      <c r="C31">
        <v>39617490</v>
      </c>
      <c r="D31">
        <v>36796764</v>
      </c>
      <c r="E31">
        <v>17</v>
      </c>
      <c r="F31">
        <v>1</v>
      </c>
      <c r="G31">
        <v>1</v>
      </c>
      <c r="H31">
        <v>3</v>
      </c>
      <c r="I31" t="s">
        <v>75</v>
      </c>
      <c r="J31" t="s">
        <v>3</v>
      </c>
      <c r="K31" t="s">
        <v>76</v>
      </c>
      <c r="L31">
        <v>1346</v>
      </c>
      <c r="N31">
        <v>1009</v>
      </c>
      <c r="O31" t="s">
        <v>77</v>
      </c>
      <c r="P31" t="s">
        <v>77</v>
      </c>
      <c r="Q31">
        <v>1</v>
      </c>
      <c r="X31">
        <v>50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50</v>
      </c>
      <c r="AH31">
        <v>2</v>
      </c>
      <c r="AI31">
        <v>39617497</v>
      </c>
      <c r="AJ31">
        <v>30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ROW(Source!A39)</f>
        <v>39</v>
      </c>
      <c r="B32">
        <v>39617514</v>
      </c>
      <c r="C32">
        <v>39617402</v>
      </c>
      <c r="D32">
        <v>37072767</v>
      </c>
      <c r="E32">
        <v>1</v>
      </c>
      <c r="F32">
        <v>1</v>
      </c>
      <c r="G32">
        <v>1</v>
      </c>
      <c r="H32">
        <v>1</v>
      </c>
      <c r="I32" t="s">
        <v>493</v>
      </c>
      <c r="J32" t="s">
        <v>3</v>
      </c>
      <c r="K32" t="s">
        <v>494</v>
      </c>
      <c r="L32">
        <v>1191</v>
      </c>
      <c r="N32">
        <v>1013</v>
      </c>
      <c r="O32" t="s">
        <v>459</v>
      </c>
      <c r="P32" t="s">
        <v>459</v>
      </c>
      <c r="Q32">
        <v>1</v>
      </c>
      <c r="X32">
        <v>6.68</v>
      </c>
      <c r="Y32">
        <v>0</v>
      </c>
      <c r="Z32">
        <v>0</v>
      </c>
      <c r="AA32">
        <v>0</v>
      </c>
      <c r="AB32">
        <v>9.18</v>
      </c>
      <c r="AC32">
        <v>0</v>
      </c>
      <c r="AD32">
        <v>1</v>
      </c>
      <c r="AE32">
        <v>1</v>
      </c>
      <c r="AF32" t="s">
        <v>33</v>
      </c>
      <c r="AG32">
        <v>7.6819999999999995</v>
      </c>
      <c r="AH32">
        <v>2</v>
      </c>
      <c r="AI32">
        <v>39617514</v>
      </c>
      <c r="AJ32">
        <v>31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ROW(Source!A39)</f>
        <v>39</v>
      </c>
      <c r="B33">
        <v>39617515</v>
      </c>
      <c r="C33">
        <v>39617402</v>
      </c>
      <c r="D33">
        <v>37064876</v>
      </c>
      <c r="E33">
        <v>1</v>
      </c>
      <c r="F33">
        <v>1</v>
      </c>
      <c r="G33">
        <v>1</v>
      </c>
      <c r="H33">
        <v>1</v>
      </c>
      <c r="I33" t="s">
        <v>460</v>
      </c>
      <c r="J33" t="s">
        <v>3</v>
      </c>
      <c r="K33" t="s">
        <v>461</v>
      </c>
      <c r="L33">
        <v>1191</v>
      </c>
      <c r="N33">
        <v>1013</v>
      </c>
      <c r="O33" t="s">
        <v>459</v>
      </c>
      <c r="P33" t="s">
        <v>459</v>
      </c>
      <c r="Q33">
        <v>1</v>
      </c>
      <c r="X33">
        <v>0.04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2</v>
      </c>
      <c r="AF33" t="s">
        <v>32</v>
      </c>
      <c r="AG33">
        <v>0.05</v>
      </c>
      <c r="AH33">
        <v>2</v>
      </c>
      <c r="AI33">
        <v>39617515</v>
      </c>
      <c r="AJ33">
        <v>32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ROW(Source!A39)</f>
        <v>39</v>
      </c>
      <c r="B34">
        <v>39617516</v>
      </c>
      <c r="C34">
        <v>39617402</v>
      </c>
      <c r="D34">
        <v>36882452</v>
      </c>
      <c r="E34">
        <v>1</v>
      </c>
      <c r="F34">
        <v>1</v>
      </c>
      <c r="G34">
        <v>1</v>
      </c>
      <c r="H34">
        <v>2</v>
      </c>
      <c r="I34" t="s">
        <v>462</v>
      </c>
      <c r="J34" t="s">
        <v>463</v>
      </c>
      <c r="K34" t="s">
        <v>464</v>
      </c>
      <c r="L34">
        <v>1368</v>
      </c>
      <c r="N34">
        <v>1011</v>
      </c>
      <c r="O34" t="s">
        <v>465</v>
      </c>
      <c r="P34" t="s">
        <v>465</v>
      </c>
      <c r="Q34">
        <v>1</v>
      </c>
      <c r="X34">
        <v>5.0000000000000001E-3</v>
      </c>
      <c r="Y34">
        <v>0</v>
      </c>
      <c r="Z34">
        <v>31.26</v>
      </c>
      <c r="AA34">
        <v>13.5</v>
      </c>
      <c r="AB34">
        <v>0</v>
      </c>
      <c r="AC34">
        <v>0</v>
      </c>
      <c r="AD34">
        <v>1</v>
      </c>
      <c r="AE34">
        <v>0</v>
      </c>
      <c r="AF34" t="s">
        <v>32</v>
      </c>
      <c r="AG34">
        <v>6.2500000000000003E-3</v>
      </c>
      <c r="AH34">
        <v>2</v>
      </c>
      <c r="AI34">
        <v>39617516</v>
      </c>
      <c r="AJ34">
        <v>33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ROW(Source!A39)</f>
        <v>39</v>
      </c>
      <c r="B35">
        <v>39617517</v>
      </c>
      <c r="C35">
        <v>39617402</v>
      </c>
      <c r="D35">
        <v>36883554</v>
      </c>
      <c r="E35">
        <v>1</v>
      </c>
      <c r="F35">
        <v>1</v>
      </c>
      <c r="G35">
        <v>1</v>
      </c>
      <c r="H35">
        <v>2</v>
      </c>
      <c r="I35" t="s">
        <v>468</v>
      </c>
      <c r="J35" t="s">
        <v>469</v>
      </c>
      <c r="K35" t="s">
        <v>470</v>
      </c>
      <c r="L35">
        <v>1368</v>
      </c>
      <c r="N35">
        <v>1011</v>
      </c>
      <c r="O35" t="s">
        <v>465</v>
      </c>
      <c r="P35" t="s">
        <v>465</v>
      </c>
      <c r="Q35">
        <v>1</v>
      </c>
      <c r="X35">
        <v>0.03</v>
      </c>
      <c r="Y35">
        <v>0</v>
      </c>
      <c r="Z35">
        <v>65.709999999999994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32</v>
      </c>
      <c r="AG35">
        <v>3.7499999999999999E-2</v>
      </c>
      <c r="AH35">
        <v>2</v>
      </c>
      <c r="AI35">
        <v>39617517</v>
      </c>
      <c r="AJ35">
        <v>34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ROW(Source!A39)</f>
        <v>39</v>
      </c>
      <c r="B36">
        <v>39617518</v>
      </c>
      <c r="C36">
        <v>39617402</v>
      </c>
      <c r="D36">
        <v>36804478</v>
      </c>
      <c r="E36">
        <v>1</v>
      </c>
      <c r="F36">
        <v>1</v>
      </c>
      <c r="G36">
        <v>1</v>
      </c>
      <c r="H36">
        <v>3</v>
      </c>
      <c r="I36" t="s">
        <v>495</v>
      </c>
      <c r="J36" t="s">
        <v>496</v>
      </c>
      <c r="K36" t="s">
        <v>497</v>
      </c>
      <c r="L36">
        <v>1355</v>
      </c>
      <c r="N36">
        <v>1010</v>
      </c>
      <c r="O36" t="s">
        <v>90</v>
      </c>
      <c r="P36" t="s">
        <v>90</v>
      </c>
      <c r="Q36">
        <v>100</v>
      </c>
      <c r="X36">
        <v>2.63</v>
      </c>
      <c r="Y36">
        <v>12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2.63</v>
      </c>
      <c r="AH36">
        <v>2</v>
      </c>
      <c r="AI36">
        <v>39617518</v>
      </c>
      <c r="AJ36">
        <v>35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ROW(Source!A39)</f>
        <v>39</v>
      </c>
      <c r="B37">
        <v>39617519</v>
      </c>
      <c r="C37">
        <v>39617402</v>
      </c>
      <c r="D37">
        <v>36804581</v>
      </c>
      <c r="E37">
        <v>1</v>
      </c>
      <c r="F37">
        <v>1</v>
      </c>
      <c r="G37">
        <v>1</v>
      </c>
      <c r="H37">
        <v>3</v>
      </c>
      <c r="I37" t="s">
        <v>498</v>
      </c>
      <c r="J37" t="s">
        <v>499</v>
      </c>
      <c r="K37" t="s">
        <v>500</v>
      </c>
      <c r="L37">
        <v>1356</v>
      </c>
      <c r="N37">
        <v>1010</v>
      </c>
      <c r="O37" t="s">
        <v>501</v>
      </c>
      <c r="P37" t="s">
        <v>501</v>
      </c>
      <c r="Q37">
        <v>1000</v>
      </c>
      <c r="X37">
        <v>0.26300000000000001</v>
      </c>
      <c r="Y37">
        <v>160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0.26300000000000001</v>
      </c>
      <c r="AH37">
        <v>2</v>
      </c>
      <c r="AI37">
        <v>39617519</v>
      </c>
      <c r="AJ37">
        <v>36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39617520</v>
      </c>
      <c r="C38">
        <v>39617402</v>
      </c>
      <c r="D38">
        <v>36797263</v>
      </c>
      <c r="E38">
        <v>17</v>
      </c>
      <c r="F38">
        <v>1</v>
      </c>
      <c r="G38">
        <v>1</v>
      </c>
      <c r="H38">
        <v>3</v>
      </c>
      <c r="I38" t="s">
        <v>650</v>
      </c>
      <c r="J38" t="s">
        <v>3</v>
      </c>
      <c r="K38" t="s">
        <v>651</v>
      </c>
      <c r="L38">
        <v>1301</v>
      </c>
      <c r="N38">
        <v>1003</v>
      </c>
      <c r="O38" t="s">
        <v>85</v>
      </c>
      <c r="P38" t="s">
        <v>85</v>
      </c>
      <c r="Q38">
        <v>1</v>
      </c>
      <c r="X38">
        <v>101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 t="s">
        <v>3</v>
      </c>
      <c r="AG38">
        <v>101</v>
      </c>
      <c r="AH38">
        <v>3</v>
      </c>
      <c r="AI38">
        <v>-1</v>
      </c>
      <c r="AJ38" t="s">
        <v>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39617521</v>
      </c>
      <c r="C39">
        <v>39617402</v>
      </c>
      <c r="D39">
        <v>36797270</v>
      </c>
      <c r="E39">
        <v>17</v>
      </c>
      <c r="F39">
        <v>1</v>
      </c>
      <c r="G39">
        <v>1</v>
      </c>
      <c r="H39">
        <v>3</v>
      </c>
      <c r="I39" t="s">
        <v>652</v>
      </c>
      <c r="J39" t="s">
        <v>3</v>
      </c>
      <c r="K39" t="s">
        <v>653</v>
      </c>
      <c r="L39">
        <v>1354</v>
      </c>
      <c r="N39">
        <v>1010</v>
      </c>
      <c r="O39" t="s">
        <v>50</v>
      </c>
      <c r="P39" t="s">
        <v>50</v>
      </c>
      <c r="Q39">
        <v>1</v>
      </c>
      <c r="X39">
        <v>7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 t="s">
        <v>3</v>
      </c>
      <c r="AG39">
        <v>7</v>
      </c>
      <c r="AH39">
        <v>3</v>
      </c>
      <c r="AI39">
        <v>-1</v>
      </c>
      <c r="AJ39" t="s">
        <v>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39617522</v>
      </c>
      <c r="C40">
        <v>39617402</v>
      </c>
      <c r="D40">
        <v>36797269</v>
      </c>
      <c r="E40">
        <v>17</v>
      </c>
      <c r="F40">
        <v>1</v>
      </c>
      <c r="G40">
        <v>1</v>
      </c>
      <c r="H40">
        <v>3</v>
      </c>
      <c r="I40" t="s">
        <v>652</v>
      </c>
      <c r="J40" t="s">
        <v>3</v>
      </c>
      <c r="K40" t="s">
        <v>654</v>
      </c>
      <c r="L40">
        <v>1354</v>
      </c>
      <c r="N40">
        <v>1010</v>
      </c>
      <c r="O40" t="s">
        <v>50</v>
      </c>
      <c r="P40" t="s">
        <v>50</v>
      </c>
      <c r="Q40">
        <v>1</v>
      </c>
      <c r="X40">
        <v>7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7</v>
      </c>
      <c r="AH40">
        <v>3</v>
      </c>
      <c r="AI40">
        <v>-1</v>
      </c>
      <c r="AJ40" t="s">
        <v>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ROW(Source!A39)</f>
        <v>39</v>
      </c>
      <c r="B41">
        <v>39617523</v>
      </c>
      <c r="C41">
        <v>39617402</v>
      </c>
      <c r="D41">
        <v>36797268</v>
      </c>
      <c r="E41">
        <v>17</v>
      </c>
      <c r="F41">
        <v>1</v>
      </c>
      <c r="G41">
        <v>1</v>
      </c>
      <c r="H41">
        <v>3</v>
      </c>
      <c r="I41" t="s">
        <v>652</v>
      </c>
      <c r="J41" t="s">
        <v>3</v>
      </c>
      <c r="K41" t="s">
        <v>655</v>
      </c>
      <c r="L41">
        <v>1354</v>
      </c>
      <c r="N41">
        <v>1010</v>
      </c>
      <c r="O41" t="s">
        <v>50</v>
      </c>
      <c r="P41" t="s">
        <v>50</v>
      </c>
      <c r="Q41">
        <v>1</v>
      </c>
      <c r="X41">
        <v>40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 t="s">
        <v>3</v>
      </c>
      <c r="AG41">
        <v>40</v>
      </c>
      <c r="AH41">
        <v>3</v>
      </c>
      <c r="AI41">
        <v>-1</v>
      </c>
      <c r="AJ41" t="s">
        <v>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ROW(Source!A39)</f>
        <v>39</v>
      </c>
      <c r="B42">
        <v>39617524</v>
      </c>
      <c r="C42">
        <v>39617402</v>
      </c>
      <c r="D42">
        <v>36797266</v>
      </c>
      <c r="E42">
        <v>17</v>
      </c>
      <c r="F42">
        <v>1</v>
      </c>
      <c r="G42">
        <v>1</v>
      </c>
      <c r="H42">
        <v>3</v>
      </c>
      <c r="I42" t="s">
        <v>652</v>
      </c>
      <c r="J42" t="s">
        <v>3</v>
      </c>
      <c r="K42" t="s">
        <v>656</v>
      </c>
      <c r="L42">
        <v>1354</v>
      </c>
      <c r="N42">
        <v>1010</v>
      </c>
      <c r="O42" t="s">
        <v>50</v>
      </c>
      <c r="P42" t="s">
        <v>50</v>
      </c>
      <c r="Q42">
        <v>1</v>
      </c>
      <c r="X42">
        <v>8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3</v>
      </c>
      <c r="AG42">
        <v>8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ROW(Source!A39)</f>
        <v>39</v>
      </c>
      <c r="B43">
        <v>39617525</v>
      </c>
      <c r="C43">
        <v>39617402</v>
      </c>
      <c r="D43">
        <v>36797267</v>
      </c>
      <c r="E43">
        <v>17</v>
      </c>
      <c r="F43">
        <v>1</v>
      </c>
      <c r="G43">
        <v>1</v>
      </c>
      <c r="H43">
        <v>3</v>
      </c>
      <c r="I43" t="s">
        <v>652</v>
      </c>
      <c r="J43" t="s">
        <v>3</v>
      </c>
      <c r="K43" t="s">
        <v>657</v>
      </c>
      <c r="L43">
        <v>1354</v>
      </c>
      <c r="N43">
        <v>1010</v>
      </c>
      <c r="O43" t="s">
        <v>50</v>
      </c>
      <c r="P43" t="s">
        <v>50</v>
      </c>
      <c r="Q43">
        <v>1</v>
      </c>
      <c r="X43">
        <v>8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3</v>
      </c>
      <c r="AG43">
        <v>8</v>
      </c>
      <c r="AH43">
        <v>3</v>
      </c>
      <c r="AI43">
        <v>-1</v>
      </c>
      <c r="AJ43" t="s">
        <v>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ROW(Source!A46)</f>
        <v>46</v>
      </c>
      <c r="B44">
        <v>39617422</v>
      </c>
      <c r="C44">
        <v>39617421</v>
      </c>
      <c r="D44">
        <v>37070495</v>
      </c>
      <c r="E44">
        <v>1</v>
      </c>
      <c r="F44">
        <v>1</v>
      </c>
      <c r="G44">
        <v>1</v>
      </c>
      <c r="H44">
        <v>1</v>
      </c>
      <c r="I44" t="s">
        <v>502</v>
      </c>
      <c r="J44" t="s">
        <v>3</v>
      </c>
      <c r="K44" t="s">
        <v>503</v>
      </c>
      <c r="L44">
        <v>1191</v>
      </c>
      <c r="N44">
        <v>1013</v>
      </c>
      <c r="O44" t="s">
        <v>459</v>
      </c>
      <c r="P44" t="s">
        <v>459</v>
      </c>
      <c r="Q44">
        <v>1</v>
      </c>
      <c r="X44">
        <v>16.64</v>
      </c>
      <c r="Y44">
        <v>0</v>
      </c>
      <c r="Z44">
        <v>0</v>
      </c>
      <c r="AA44">
        <v>0</v>
      </c>
      <c r="AB44">
        <v>8.74</v>
      </c>
      <c r="AC44">
        <v>0</v>
      </c>
      <c r="AD44">
        <v>1</v>
      </c>
      <c r="AE44">
        <v>1</v>
      </c>
      <c r="AF44" t="s">
        <v>33</v>
      </c>
      <c r="AG44">
        <v>19.135999999999999</v>
      </c>
      <c r="AH44">
        <v>2</v>
      </c>
      <c r="AI44">
        <v>39617422</v>
      </c>
      <c r="AJ44">
        <v>43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ROW(Source!A46)</f>
        <v>46</v>
      </c>
      <c r="B45">
        <v>39617423</v>
      </c>
      <c r="C45">
        <v>39617421</v>
      </c>
      <c r="D45">
        <v>36804478</v>
      </c>
      <c r="E45">
        <v>1</v>
      </c>
      <c r="F45">
        <v>1</v>
      </c>
      <c r="G45">
        <v>1</v>
      </c>
      <c r="H45">
        <v>3</v>
      </c>
      <c r="I45" t="s">
        <v>495</v>
      </c>
      <c r="J45" t="s">
        <v>496</v>
      </c>
      <c r="K45" t="s">
        <v>497</v>
      </c>
      <c r="L45">
        <v>1355</v>
      </c>
      <c r="N45">
        <v>1010</v>
      </c>
      <c r="O45" t="s">
        <v>90</v>
      </c>
      <c r="P45" t="s">
        <v>90</v>
      </c>
      <c r="Q45">
        <v>100</v>
      </c>
      <c r="X45">
        <v>6.7</v>
      </c>
      <c r="Y45">
        <v>12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6.7</v>
      </c>
      <c r="AH45">
        <v>2</v>
      </c>
      <c r="AI45">
        <v>39617423</v>
      </c>
      <c r="AJ45">
        <v>44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ROW(Source!A46)</f>
        <v>46</v>
      </c>
      <c r="B46">
        <v>39617424</v>
      </c>
      <c r="C46">
        <v>39617421</v>
      </c>
      <c r="D46">
        <v>36797282</v>
      </c>
      <c r="E46">
        <v>17</v>
      </c>
      <c r="F46">
        <v>1</v>
      </c>
      <c r="G46">
        <v>1</v>
      </c>
      <c r="H46">
        <v>3</v>
      </c>
      <c r="I46" t="s">
        <v>658</v>
      </c>
      <c r="J46" t="s">
        <v>3</v>
      </c>
      <c r="K46" t="s">
        <v>659</v>
      </c>
      <c r="L46">
        <v>1301</v>
      </c>
      <c r="N46">
        <v>1003</v>
      </c>
      <c r="O46" t="s">
        <v>85</v>
      </c>
      <c r="P46" t="s">
        <v>85</v>
      </c>
      <c r="Q46">
        <v>1</v>
      </c>
      <c r="X46">
        <v>105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3</v>
      </c>
      <c r="AG46">
        <v>105</v>
      </c>
      <c r="AH46">
        <v>3</v>
      </c>
      <c r="AI46">
        <v>-1</v>
      </c>
      <c r="AJ46" t="s">
        <v>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ROW(Source!A48)</f>
        <v>48</v>
      </c>
      <c r="B47">
        <v>39617427</v>
      </c>
      <c r="C47">
        <v>39617426</v>
      </c>
      <c r="D47">
        <v>37066717</v>
      </c>
      <c r="E47">
        <v>1</v>
      </c>
      <c r="F47">
        <v>1</v>
      </c>
      <c r="G47">
        <v>1</v>
      </c>
      <c r="H47">
        <v>1</v>
      </c>
      <c r="I47" t="s">
        <v>504</v>
      </c>
      <c r="J47" t="s">
        <v>3</v>
      </c>
      <c r="K47" t="s">
        <v>505</v>
      </c>
      <c r="L47">
        <v>1191</v>
      </c>
      <c r="N47">
        <v>1013</v>
      </c>
      <c r="O47" t="s">
        <v>459</v>
      </c>
      <c r="P47" t="s">
        <v>459</v>
      </c>
      <c r="Q47">
        <v>1</v>
      </c>
      <c r="X47">
        <v>14.63</v>
      </c>
      <c r="Y47">
        <v>0</v>
      </c>
      <c r="Z47">
        <v>0</v>
      </c>
      <c r="AA47">
        <v>0</v>
      </c>
      <c r="AB47">
        <v>8.17</v>
      </c>
      <c r="AC47">
        <v>0</v>
      </c>
      <c r="AD47">
        <v>1</v>
      </c>
      <c r="AE47">
        <v>1</v>
      </c>
      <c r="AF47" t="s">
        <v>3</v>
      </c>
      <c r="AG47">
        <v>14.63</v>
      </c>
      <c r="AH47">
        <v>2</v>
      </c>
      <c r="AI47">
        <v>39617427</v>
      </c>
      <c r="AJ47">
        <v>46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ROW(Source!A48)</f>
        <v>48</v>
      </c>
      <c r="B48">
        <v>39617428</v>
      </c>
      <c r="C48">
        <v>39617426</v>
      </c>
      <c r="D48">
        <v>36882351</v>
      </c>
      <c r="E48">
        <v>1</v>
      </c>
      <c r="F48">
        <v>1</v>
      </c>
      <c r="G48">
        <v>1</v>
      </c>
      <c r="H48">
        <v>2</v>
      </c>
      <c r="I48" t="s">
        <v>506</v>
      </c>
      <c r="J48" t="s">
        <v>507</v>
      </c>
      <c r="K48" t="s">
        <v>508</v>
      </c>
      <c r="L48">
        <v>1368</v>
      </c>
      <c r="N48">
        <v>1011</v>
      </c>
      <c r="O48" t="s">
        <v>465</v>
      </c>
      <c r="P48" t="s">
        <v>465</v>
      </c>
      <c r="Q48">
        <v>1</v>
      </c>
      <c r="X48">
        <v>0.32</v>
      </c>
      <c r="Y48">
        <v>0</v>
      </c>
      <c r="Z48">
        <v>6.66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0.32</v>
      </c>
      <c r="AH48">
        <v>2</v>
      </c>
      <c r="AI48">
        <v>39617428</v>
      </c>
      <c r="AJ48">
        <v>47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ROW(Source!A48)</f>
        <v>48</v>
      </c>
      <c r="B49">
        <v>39617429</v>
      </c>
      <c r="C49">
        <v>39617426</v>
      </c>
      <c r="D49">
        <v>36807374</v>
      </c>
      <c r="E49">
        <v>1</v>
      </c>
      <c r="F49">
        <v>1</v>
      </c>
      <c r="G49">
        <v>1</v>
      </c>
      <c r="H49">
        <v>3</v>
      </c>
      <c r="I49" t="s">
        <v>509</v>
      </c>
      <c r="J49" t="s">
        <v>510</v>
      </c>
      <c r="K49" t="s">
        <v>511</v>
      </c>
      <c r="L49">
        <v>1339</v>
      </c>
      <c r="N49">
        <v>1007</v>
      </c>
      <c r="O49" t="s">
        <v>119</v>
      </c>
      <c r="P49" t="s">
        <v>119</v>
      </c>
      <c r="Q49">
        <v>1</v>
      </c>
      <c r="X49">
        <v>0.24</v>
      </c>
      <c r="Y49">
        <v>519.79999999999995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0.24</v>
      </c>
      <c r="AH49">
        <v>2</v>
      </c>
      <c r="AI49">
        <v>39617429</v>
      </c>
      <c r="AJ49">
        <v>48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ROW(Source!A48)</f>
        <v>48</v>
      </c>
      <c r="B50">
        <v>39617430</v>
      </c>
      <c r="C50">
        <v>39617426</v>
      </c>
      <c r="D50">
        <v>36797030</v>
      </c>
      <c r="E50">
        <v>17</v>
      </c>
      <c r="F50">
        <v>1</v>
      </c>
      <c r="G50">
        <v>1</v>
      </c>
      <c r="H50">
        <v>3</v>
      </c>
      <c r="I50" t="s">
        <v>660</v>
      </c>
      <c r="J50" t="s">
        <v>3</v>
      </c>
      <c r="K50" t="s">
        <v>661</v>
      </c>
      <c r="L50">
        <v>1356</v>
      </c>
      <c r="N50">
        <v>1010</v>
      </c>
      <c r="O50" t="s">
        <v>501</v>
      </c>
      <c r="P50" t="s">
        <v>501</v>
      </c>
      <c r="Q50">
        <v>1000</v>
      </c>
      <c r="X50">
        <v>0.4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3</v>
      </c>
      <c r="AG50">
        <v>0.4</v>
      </c>
      <c r="AH50">
        <v>3</v>
      </c>
      <c r="AI50">
        <v>-1</v>
      </c>
      <c r="AJ50" t="s">
        <v>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ROW(Source!A50)</f>
        <v>50</v>
      </c>
      <c r="B51">
        <v>39617816</v>
      </c>
      <c r="C51">
        <v>39617815</v>
      </c>
      <c r="D51">
        <v>37068148</v>
      </c>
      <c r="E51">
        <v>1</v>
      </c>
      <c r="F51">
        <v>1</v>
      </c>
      <c r="G51">
        <v>1</v>
      </c>
      <c r="H51">
        <v>1</v>
      </c>
      <c r="I51" t="s">
        <v>512</v>
      </c>
      <c r="J51" t="s">
        <v>3</v>
      </c>
      <c r="K51" t="s">
        <v>513</v>
      </c>
      <c r="L51">
        <v>1191</v>
      </c>
      <c r="N51">
        <v>1013</v>
      </c>
      <c r="O51" t="s">
        <v>459</v>
      </c>
      <c r="P51" t="s">
        <v>459</v>
      </c>
      <c r="Q51">
        <v>1</v>
      </c>
      <c r="X51">
        <v>75.22</v>
      </c>
      <c r="Y51">
        <v>0</v>
      </c>
      <c r="Z51">
        <v>0</v>
      </c>
      <c r="AA51">
        <v>0</v>
      </c>
      <c r="AB51">
        <v>8.09</v>
      </c>
      <c r="AC51">
        <v>0</v>
      </c>
      <c r="AD51">
        <v>1</v>
      </c>
      <c r="AE51">
        <v>1</v>
      </c>
      <c r="AF51" t="s">
        <v>3</v>
      </c>
      <c r="AG51">
        <v>75.22</v>
      </c>
      <c r="AH51">
        <v>2</v>
      </c>
      <c r="AI51">
        <v>39617816</v>
      </c>
      <c r="AJ51">
        <v>50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ROW(Source!A50)</f>
        <v>50</v>
      </c>
      <c r="B52">
        <v>39617817</v>
      </c>
      <c r="C52">
        <v>39617815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460</v>
      </c>
      <c r="J52" t="s">
        <v>3</v>
      </c>
      <c r="K52" t="s">
        <v>461</v>
      </c>
      <c r="L52">
        <v>1191</v>
      </c>
      <c r="N52">
        <v>1013</v>
      </c>
      <c r="O52" t="s">
        <v>459</v>
      </c>
      <c r="P52" t="s">
        <v>459</v>
      </c>
      <c r="Q52">
        <v>1</v>
      </c>
      <c r="X52">
        <v>0.4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3</v>
      </c>
      <c r="AG52">
        <v>0.4</v>
      </c>
      <c r="AH52">
        <v>2</v>
      </c>
      <c r="AI52">
        <v>39617817</v>
      </c>
      <c r="AJ52">
        <v>51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ROW(Source!A50)</f>
        <v>50</v>
      </c>
      <c r="B53">
        <v>39617818</v>
      </c>
      <c r="C53">
        <v>39617815</v>
      </c>
      <c r="D53">
        <v>36882356</v>
      </c>
      <c r="E53">
        <v>1</v>
      </c>
      <c r="F53">
        <v>1</v>
      </c>
      <c r="G53">
        <v>1</v>
      </c>
      <c r="H53">
        <v>2</v>
      </c>
      <c r="I53" t="s">
        <v>514</v>
      </c>
      <c r="J53" t="s">
        <v>515</v>
      </c>
      <c r="K53" t="s">
        <v>516</v>
      </c>
      <c r="L53">
        <v>1368</v>
      </c>
      <c r="N53">
        <v>1011</v>
      </c>
      <c r="O53" t="s">
        <v>465</v>
      </c>
      <c r="P53" t="s">
        <v>465</v>
      </c>
      <c r="Q53">
        <v>1</v>
      </c>
      <c r="X53">
        <v>0.21</v>
      </c>
      <c r="Y53">
        <v>0</v>
      </c>
      <c r="Z53">
        <v>1.7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0.21</v>
      </c>
      <c r="AH53">
        <v>2</v>
      </c>
      <c r="AI53">
        <v>39617818</v>
      </c>
      <c r="AJ53">
        <v>52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ROW(Source!A50)</f>
        <v>50</v>
      </c>
      <c r="B54">
        <v>39617819</v>
      </c>
      <c r="C54">
        <v>39617815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468</v>
      </c>
      <c r="J54" t="s">
        <v>469</v>
      </c>
      <c r="K54" t="s">
        <v>470</v>
      </c>
      <c r="L54">
        <v>1368</v>
      </c>
      <c r="N54">
        <v>1011</v>
      </c>
      <c r="O54" t="s">
        <v>465</v>
      </c>
      <c r="P54" t="s">
        <v>465</v>
      </c>
      <c r="Q54">
        <v>1</v>
      </c>
      <c r="X54">
        <v>0.4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0.4</v>
      </c>
      <c r="AH54">
        <v>2</v>
      </c>
      <c r="AI54">
        <v>39617819</v>
      </c>
      <c r="AJ54">
        <v>53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ROW(Source!A50)</f>
        <v>50</v>
      </c>
      <c r="B55">
        <v>39617820</v>
      </c>
      <c r="C55">
        <v>39617815</v>
      </c>
      <c r="D55">
        <v>36801792</v>
      </c>
      <c r="E55">
        <v>1</v>
      </c>
      <c r="F55">
        <v>1</v>
      </c>
      <c r="G55">
        <v>1</v>
      </c>
      <c r="H55">
        <v>3</v>
      </c>
      <c r="I55" t="s">
        <v>476</v>
      </c>
      <c r="J55" t="s">
        <v>477</v>
      </c>
      <c r="K55" t="s">
        <v>478</v>
      </c>
      <c r="L55">
        <v>1339</v>
      </c>
      <c r="N55">
        <v>1007</v>
      </c>
      <c r="O55" t="s">
        <v>119</v>
      </c>
      <c r="P55" t="s">
        <v>119</v>
      </c>
      <c r="Q55">
        <v>1</v>
      </c>
      <c r="X55">
        <v>1.37E-2</v>
      </c>
      <c r="Y55">
        <v>2.44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1.37E-2</v>
      </c>
      <c r="AH55">
        <v>2</v>
      </c>
      <c r="AI55">
        <v>39617820</v>
      </c>
      <c r="AJ55">
        <v>54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ROW(Source!A50)</f>
        <v>50</v>
      </c>
      <c r="B56">
        <v>39617821</v>
      </c>
      <c r="C56">
        <v>39617815</v>
      </c>
      <c r="D56">
        <v>36804545</v>
      </c>
      <c r="E56">
        <v>1</v>
      </c>
      <c r="F56">
        <v>1</v>
      </c>
      <c r="G56">
        <v>1</v>
      </c>
      <c r="H56">
        <v>3</v>
      </c>
      <c r="I56" t="s">
        <v>517</v>
      </c>
      <c r="J56" t="s">
        <v>518</v>
      </c>
      <c r="K56" t="s">
        <v>519</v>
      </c>
      <c r="L56">
        <v>1348</v>
      </c>
      <c r="N56">
        <v>1009</v>
      </c>
      <c r="O56" t="s">
        <v>72</v>
      </c>
      <c r="P56" t="s">
        <v>72</v>
      </c>
      <c r="Q56">
        <v>1000</v>
      </c>
      <c r="X56">
        <v>5.8999999999999999E-3</v>
      </c>
      <c r="Y56">
        <v>11978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5.8999999999999999E-3</v>
      </c>
      <c r="AH56">
        <v>2</v>
      </c>
      <c r="AI56">
        <v>39617821</v>
      </c>
      <c r="AJ56">
        <v>55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ROW(Source!A50)</f>
        <v>50</v>
      </c>
      <c r="B57">
        <v>39617822</v>
      </c>
      <c r="C57">
        <v>39617815</v>
      </c>
      <c r="D57">
        <v>36806520</v>
      </c>
      <c r="E57">
        <v>1</v>
      </c>
      <c r="F57">
        <v>1</v>
      </c>
      <c r="G57">
        <v>1</v>
      </c>
      <c r="H57">
        <v>3</v>
      </c>
      <c r="I57" t="s">
        <v>520</v>
      </c>
      <c r="J57" t="s">
        <v>521</v>
      </c>
      <c r="K57" t="s">
        <v>522</v>
      </c>
      <c r="L57">
        <v>1348</v>
      </c>
      <c r="N57">
        <v>1009</v>
      </c>
      <c r="O57" t="s">
        <v>72</v>
      </c>
      <c r="P57" t="s">
        <v>72</v>
      </c>
      <c r="Q57">
        <v>1000</v>
      </c>
      <c r="X57">
        <v>4.8999999999999998E-3</v>
      </c>
      <c r="Y57">
        <v>734.5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4.8999999999999998E-3</v>
      </c>
      <c r="AH57">
        <v>2</v>
      </c>
      <c r="AI57">
        <v>39617822</v>
      </c>
      <c r="AJ57">
        <v>56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ROW(Source!A50)</f>
        <v>50</v>
      </c>
      <c r="B58">
        <v>39617823</v>
      </c>
      <c r="C58">
        <v>39617815</v>
      </c>
      <c r="D58">
        <v>36796386</v>
      </c>
      <c r="E58">
        <v>17</v>
      </c>
      <c r="F58">
        <v>1</v>
      </c>
      <c r="G58">
        <v>1</v>
      </c>
      <c r="H58">
        <v>3</v>
      </c>
      <c r="I58" t="s">
        <v>136</v>
      </c>
      <c r="J58" t="s">
        <v>3</v>
      </c>
      <c r="K58" t="s">
        <v>137</v>
      </c>
      <c r="L58">
        <v>1339</v>
      </c>
      <c r="N58">
        <v>1007</v>
      </c>
      <c r="O58" t="s">
        <v>119</v>
      </c>
      <c r="P58" t="s">
        <v>119</v>
      </c>
      <c r="Q58">
        <v>1</v>
      </c>
      <c r="X58">
        <v>1.04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3</v>
      </c>
      <c r="AG58">
        <v>1.04</v>
      </c>
      <c r="AH58">
        <v>2</v>
      </c>
      <c r="AI58">
        <v>39617823</v>
      </c>
      <c r="AJ58">
        <v>57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ROW(Source!A50)</f>
        <v>50</v>
      </c>
      <c r="B59">
        <v>39617824</v>
      </c>
      <c r="C59">
        <v>39617815</v>
      </c>
      <c r="D59">
        <v>36825646</v>
      </c>
      <c r="E59">
        <v>1</v>
      </c>
      <c r="F59">
        <v>1</v>
      </c>
      <c r="G59">
        <v>1</v>
      </c>
      <c r="H59">
        <v>3</v>
      </c>
      <c r="I59" t="s">
        <v>523</v>
      </c>
      <c r="J59" t="s">
        <v>524</v>
      </c>
      <c r="K59" t="s">
        <v>525</v>
      </c>
      <c r="L59">
        <v>1348</v>
      </c>
      <c r="N59">
        <v>1009</v>
      </c>
      <c r="O59" t="s">
        <v>72</v>
      </c>
      <c r="P59" t="s">
        <v>72</v>
      </c>
      <c r="Q59">
        <v>1000</v>
      </c>
      <c r="X59">
        <v>9.4999999999999998E-3</v>
      </c>
      <c r="Y59">
        <v>4455.2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9.4999999999999998E-3</v>
      </c>
      <c r="AH59">
        <v>2</v>
      </c>
      <c r="AI59">
        <v>39617824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ROW(Source!A50)</f>
        <v>50</v>
      </c>
      <c r="B60">
        <v>39617825</v>
      </c>
      <c r="C60">
        <v>39617815</v>
      </c>
      <c r="D60">
        <v>36830315</v>
      </c>
      <c r="E60">
        <v>1</v>
      </c>
      <c r="F60">
        <v>1</v>
      </c>
      <c r="G60">
        <v>1</v>
      </c>
      <c r="H60">
        <v>3</v>
      </c>
      <c r="I60" t="s">
        <v>526</v>
      </c>
      <c r="J60" t="s">
        <v>527</v>
      </c>
      <c r="K60" t="s">
        <v>528</v>
      </c>
      <c r="L60">
        <v>1339</v>
      </c>
      <c r="N60">
        <v>1007</v>
      </c>
      <c r="O60" t="s">
        <v>119</v>
      </c>
      <c r="P60" t="s">
        <v>119</v>
      </c>
      <c r="Q60">
        <v>1</v>
      </c>
      <c r="X60">
        <v>0.21</v>
      </c>
      <c r="Y60">
        <v>1287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0.21</v>
      </c>
      <c r="AH60">
        <v>2</v>
      </c>
      <c r="AI60">
        <v>39617825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ROW(Source!A50)</f>
        <v>50</v>
      </c>
      <c r="B61">
        <v>39617826</v>
      </c>
      <c r="C61">
        <v>39617815</v>
      </c>
      <c r="D61">
        <v>36830505</v>
      </c>
      <c r="E61">
        <v>1</v>
      </c>
      <c r="F61">
        <v>1</v>
      </c>
      <c r="G61">
        <v>1</v>
      </c>
      <c r="H61">
        <v>3</v>
      </c>
      <c r="I61" t="s">
        <v>529</v>
      </c>
      <c r="J61" t="s">
        <v>530</v>
      </c>
      <c r="K61" t="s">
        <v>531</v>
      </c>
      <c r="L61">
        <v>1339</v>
      </c>
      <c r="N61">
        <v>1007</v>
      </c>
      <c r="O61" t="s">
        <v>119</v>
      </c>
      <c r="P61" t="s">
        <v>119</v>
      </c>
      <c r="Q61">
        <v>1</v>
      </c>
      <c r="X61">
        <v>0.18</v>
      </c>
      <c r="Y61">
        <v>1155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0.18</v>
      </c>
      <c r="AH61">
        <v>2</v>
      </c>
      <c r="AI61">
        <v>39617826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ROW(Source!A53)</f>
        <v>53</v>
      </c>
      <c r="B62">
        <v>39617831</v>
      </c>
      <c r="C62">
        <v>39617830</v>
      </c>
      <c r="D62">
        <v>37065248</v>
      </c>
      <c r="E62">
        <v>1</v>
      </c>
      <c r="F62">
        <v>1</v>
      </c>
      <c r="G62">
        <v>1</v>
      </c>
      <c r="H62">
        <v>1</v>
      </c>
      <c r="I62" t="s">
        <v>474</v>
      </c>
      <c r="J62" t="s">
        <v>3</v>
      </c>
      <c r="K62" t="s">
        <v>475</v>
      </c>
      <c r="L62">
        <v>1191</v>
      </c>
      <c r="N62">
        <v>1013</v>
      </c>
      <c r="O62" t="s">
        <v>459</v>
      </c>
      <c r="P62" t="s">
        <v>459</v>
      </c>
      <c r="Q62">
        <v>1</v>
      </c>
      <c r="X62">
        <v>32.49</v>
      </c>
      <c r="Y62">
        <v>0</v>
      </c>
      <c r="Z62">
        <v>0</v>
      </c>
      <c r="AA62">
        <v>0</v>
      </c>
      <c r="AB62">
        <v>8.5299999999999994</v>
      </c>
      <c r="AC62">
        <v>0</v>
      </c>
      <c r="AD62">
        <v>1</v>
      </c>
      <c r="AE62">
        <v>1</v>
      </c>
      <c r="AF62" t="s">
        <v>33</v>
      </c>
      <c r="AG62">
        <v>37.363500000000002</v>
      </c>
      <c r="AH62">
        <v>2</v>
      </c>
      <c r="AI62">
        <v>39617831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ROW(Source!A53)</f>
        <v>53</v>
      </c>
      <c r="B63">
        <v>39617832</v>
      </c>
      <c r="C63">
        <v>39617830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460</v>
      </c>
      <c r="J63" t="s">
        <v>3</v>
      </c>
      <c r="K63" t="s">
        <v>461</v>
      </c>
      <c r="L63">
        <v>1191</v>
      </c>
      <c r="N63">
        <v>1013</v>
      </c>
      <c r="O63" t="s">
        <v>459</v>
      </c>
      <c r="P63" t="s">
        <v>459</v>
      </c>
      <c r="Q63">
        <v>1</v>
      </c>
      <c r="X63">
        <v>0.93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32</v>
      </c>
      <c r="AG63">
        <v>1.1625000000000001</v>
      </c>
      <c r="AH63">
        <v>2</v>
      </c>
      <c r="AI63">
        <v>39617832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ROW(Source!A53)</f>
        <v>53</v>
      </c>
      <c r="B64">
        <v>39617833</v>
      </c>
      <c r="C64">
        <v>39617830</v>
      </c>
      <c r="D64">
        <v>36882383</v>
      </c>
      <c r="E64">
        <v>1</v>
      </c>
      <c r="F64">
        <v>1</v>
      </c>
      <c r="G64">
        <v>1</v>
      </c>
      <c r="H64">
        <v>2</v>
      </c>
      <c r="I64" t="s">
        <v>532</v>
      </c>
      <c r="J64" t="s">
        <v>533</v>
      </c>
      <c r="K64" t="s">
        <v>534</v>
      </c>
      <c r="L64">
        <v>1368</v>
      </c>
      <c r="N64">
        <v>1011</v>
      </c>
      <c r="O64" t="s">
        <v>465</v>
      </c>
      <c r="P64" t="s">
        <v>465</v>
      </c>
      <c r="Q64">
        <v>1</v>
      </c>
      <c r="X64">
        <v>0.02</v>
      </c>
      <c r="Y64">
        <v>0</v>
      </c>
      <c r="Z64">
        <v>89.99</v>
      </c>
      <c r="AA64">
        <v>10.06</v>
      </c>
      <c r="AB64">
        <v>0</v>
      </c>
      <c r="AC64">
        <v>0</v>
      </c>
      <c r="AD64">
        <v>1</v>
      </c>
      <c r="AE64">
        <v>0</v>
      </c>
      <c r="AF64" t="s">
        <v>32</v>
      </c>
      <c r="AG64">
        <v>2.5000000000000001E-2</v>
      </c>
      <c r="AH64">
        <v>2</v>
      </c>
      <c r="AI64">
        <v>39617833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ROW(Source!A53)</f>
        <v>53</v>
      </c>
      <c r="B65">
        <v>39617834</v>
      </c>
      <c r="C65">
        <v>39617830</v>
      </c>
      <c r="D65">
        <v>36882452</v>
      </c>
      <c r="E65">
        <v>1</v>
      </c>
      <c r="F65">
        <v>1</v>
      </c>
      <c r="G65">
        <v>1</v>
      </c>
      <c r="H65">
        <v>2</v>
      </c>
      <c r="I65" t="s">
        <v>462</v>
      </c>
      <c r="J65" t="s">
        <v>463</v>
      </c>
      <c r="K65" t="s">
        <v>464</v>
      </c>
      <c r="L65">
        <v>1368</v>
      </c>
      <c r="N65">
        <v>1011</v>
      </c>
      <c r="O65" t="s">
        <v>465</v>
      </c>
      <c r="P65" t="s">
        <v>465</v>
      </c>
      <c r="Q65">
        <v>1</v>
      </c>
      <c r="X65">
        <v>0.21</v>
      </c>
      <c r="Y65">
        <v>0</v>
      </c>
      <c r="Z65">
        <v>31.26</v>
      </c>
      <c r="AA65">
        <v>13.5</v>
      </c>
      <c r="AB65">
        <v>0</v>
      </c>
      <c r="AC65">
        <v>0</v>
      </c>
      <c r="AD65">
        <v>1</v>
      </c>
      <c r="AE65">
        <v>0</v>
      </c>
      <c r="AF65" t="s">
        <v>32</v>
      </c>
      <c r="AG65">
        <v>0.26250000000000001</v>
      </c>
      <c r="AH65">
        <v>2</v>
      </c>
      <c r="AI65">
        <v>39617834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ROW(Source!A53)</f>
        <v>53</v>
      </c>
      <c r="B66">
        <v>39617835</v>
      </c>
      <c r="C66">
        <v>39617830</v>
      </c>
      <c r="D66">
        <v>36882621</v>
      </c>
      <c r="E66">
        <v>1</v>
      </c>
      <c r="F66">
        <v>1</v>
      </c>
      <c r="G66">
        <v>1</v>
      </c>
      <c r="H66">
        <v>2</v>
      </c>
      <c r="I66" t="s">
        <v>535</v>
      </c>
      <c r="J66" t="s">
        <v>536</v>
      </c>
      <c r="K66" t="s">
        <v>537</v>
      </c>
      <c r="L66">
        <v>1368</v>
      </c>
      <c r="N66">
        <v>1011</v>
      </c>
      <c r="O66" t="s">
        <v>465</v>
      </c>
      <c r="P66" t="s">
        <v>465</v>
      </c>
      <c r="Q66">
        <v>1</v>
      </c>
      <c r="X66">
        <v>0.7</v>
      </c>
      <c r="Y66">
        <v>0</v>
      </c>
      <c r="Z66">
        <v>12.39</v>
      </c>
      <c r="AA66">
        <v>10.06</v>
      </c>
      <c r="AB66">
        <v>0</v>
      </c>
      <c r="AC66">
        <v>0</v>
      </c>
      <c r="AD66">
        <v>1</v>
      </c>
      <c r="AE66">
        <v>0</v>
      </c>
      <c r="AF66" t="s">
        <v>32</v>
      </c>
      <c r="AG66">
        <v>0.875</v>
      </c>
      <c r="AH66">
        <v>2</v>
      </c>
      <c r="AI66">
        <v>39617835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ROW(Source!A53)</f>
        <v>53</v>
      </c>
      <c r="B67">
        <v>39617836</v>
      </c>
      <c r="C67">
        <v>39617830</v>
      </c>
      <c r="D67">
        <v>36801792</v>
      </c>
      <c r="E67">
        <v>1</v>
      </c>
      <c r="F67">
        <v>1</v>
      </c>
      <c r="G67">
        <v>1</v>
      </c>
      <c r="H67">
        <v>3</v>
      </c>
      <c r="I67" t="s">
        <v>476</v>
      </c>
      <c r="J67" t="s">
        <v>477</v>
      </c>
      <c r="K67" t="s">
        <v>478</v>
      </c>
      <c r="L67">
        <v>1339</v>
      </c>
      <c r="N67">
        <v>1007</v>
      </c>
      <c r="O67" t="s">
        <v>119</v>
      </c>
      <c r="P67" t="s">
        <v>119</v>
      </c>
      <c r="Q67">
        <v>1</v>
      </c>
      <c r="X67">
        <v>0.51</v>
      </c>
      <c r="Y67">
        <v>2.44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0.51</v>
      </c>
      <c r="AH67">
        <v>2</v>
      </c>
      <c r="AI67">
        <v>39617836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ROW(Source!A53)</f>
        <v>53</v>
      </c>
      <c r="B68">
        <v>39617837</v>
      </c>
      <c r="C68">
        <v>39617830</v>
      </c>
      <c r="D68">
        <v>36797535</v>
      </c>
      <c r="E68">
        <v>17</v>
      </c>
      <c r="F68">
        <v>1</v>
      </c>
      <c r="G68">
        <v>1</v>
      </c>
      <c r="H68">
        <v>3</v>
      </c>
      <c r="I68" t="s">
        <v>147</v>
      </c>
      <c r="J68" t="s">
        <v>3</v>
      </c>
      <c r="K68" t="s">
        <v>148</v>
      </c>
      <c r="L68">
        <v>1348</v>
      </c>
      <c r="N68">
        <v>1009</v>
      </c>
      <c r="O68" t="s">
        <v>72</v>
      </c>
      <c r="P68" t="s">
        <v>72</v>
      </c>
      <c r="Q68">
        <v>1000</v>
      </c>
      <c r="X68">
        <v>0.85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 t="s">
        <v>3</v>
      </c>
      <c r="AG68">
        <v>0.85</v>
      </c>
      <c r="AH68">
        <v>2</v>
      </c>
      <c r="AI68">
        <v>39617837</v>
      </c>
      <c r="AJ68">
        <v>69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ROW(Source!A53)</f>
        <v>53</v>
      </c>
      <c r="B69">
        <v>39617838</v>
      </c>
      <c r="C69">
        <v>39617830</v>
      </c>
      <c r="D69">
        <v>36797079</v>
      </c>
      <c r="E69">
        <v>17</v>
      </c>
      <c r="F69">
        <v>1</v>
      </c>
      <c r="G69">
        <v>1</v>
      </c>
      <c r="H69">
        <v>3</v>
      </c>
      <c r="I69" t="s">
        <v>159</v>
      </c>
      <c r="J69" t="s">
        <v>3</v>
      </c>
      <c r="K69" t="s">
        <v>160</v>
      </c>
      <c r="L69">
        <v>1348</v>
      </c>
      <c r="N69">
        <v>1009</v>
      </c>
      <c r="O69" t="s">
        <v>72</v>
      </c>
      <c r="P69" t="s">
        <v>72</v>
      </c>
      <c r="Q69">
        <v>1000</v>
      </c>
      <c r="X69">
        <v>0</v>
      </c>
      <c r="Y69">
        <v>0</v>
      </c>
      <c r="Z69">
        <v>0</v>
      </c>
      <c r="AA69">
        <v>0</v>
      </c>
      <c r="AB69">
        <v>0</v>
      </c>
      <c r="AC69">
        <v>1</v>
      </c>
      <c r="AD69">
        <v>0</v>
      </c>
      <c r="AE69">
        <v>0</v>
      </c>
      <c r="AF69" t="s">
        <v>3</v>
      </c>
      <c r="AG69">
        <v>0</v>
      </c>
      <c r="AH69">
        <v>3</v>
      </c>
      <c r="AI69">
        <v>-1</v>
      </c>
      <c r="AJ69" t="s">
        <v>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ROW(Source!A57)</f>
        <v>57</v>
      </c>
      <c r="B70">
        <v>39617846</v>
      </c>
      <c r="C70">
        <v>39617845</v>
      </c>
      <c r="D70">
        <v>37071037</v>
      </c>
      <c r="E70">
        <v>1</v>
      </c>
      <c r="F70">
        <v>1</v>
      </c>
      <c r="G70">
        <v>1</v>
      </c>
      <c r="H70">
        <v>1</v>
      </c>
      <c r="I70" t="s">
        <v>538</v>
      </c>
      <c r="J70" t="s">
        <v>3</v>
      </c>
      <c r="K70" t="s">
        <v>539</v>
      </c>
      <c r="L70">
        <v>1191</v>
      </c>
      <c r="N70">
        <v>1013</v>
      </c>
      <c r="O70" t="s">
        <v>459</v>
      </c>
      <c r="P70" t="s">
        <v>459</v>
      </c>
      <c r="Q70">
        <v>1</v>
      </c>
      <c r="X70">
        <v>6.55</v>
      </c>
      <c r="Y70">
        <v>0</v>
      </c>
      <c r="Z70">
        <v>0</v>
      </c>
      <c r="AA70">
        <v>0</v>
      </c>
      <c r="AB70">
        <v>9.6199999999999992</v>
      </c>
      <c r="AC70">
        <v>0</v>
      </c>
      <c r="AD70">
        <v>1</v>
      </c>
      <c r="AE70">
        <v>1</v>
      </c>
      <c r="AF70" t="s">
        <v>33</v>
      </c>
      <c r="AG70">
        <v>7.5324999999999989</v>
      </c>
      <c r="AH70">
        <v>2</v>
      </c>
      <c r="AI70">
        <v>39617846</v>
      </c>
      <c r="AJ70">
        <v>71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ROW(Source!A57)</f>
        <v>57</v>
      </c>
      <c r="B71">
        <v>39617847</v>
      </c>
      <c r="C71">
        <v>39617845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460</v>
      </c>
      <c r="J71" t="s">
        <v>3</v>
      </c>
      <c r="K71" t="s">
        <v>461</v>
      </c>
      <c r="L71">
        <v>1191</v>
      </c>
      <c r="N71">
        <v>1013</v>
      </c>
      <c r="O71" t="s">
        <v>459</v>
      </c>
      <c r="P71" t="s">
        <v>459</v>
      </c>
      <c r="Q71">
        <v>1</v>
      </c>
      <c r="X71">
        <v>0.02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2</v>
      </c>
      <c r="AF71" t="s">
        <v>32</v>
      </c>
      <c r="AG71">
        <v>2.5000000000000001E-2</v>
      </c>
      <c r="AH71">
        <v>2</v>
      </c>
      <c r="AI71">
        <v>39617847</v>
      </c>
      <c r="AJ71">
        <v>72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ROW(Source!A57)</f>
        <v>57</v>
      </c>
      <c r="B72">
        <v>39617848</v>
      </c>
      <c r="C72">
        <v>39617845</v>
      </c>
      <c r="D72">
        <v>36882452</v>
      </c>
      <c r="E72">
        <v>1</v>
      </c>
      <c r="F72">
        <v>1</v>
      </c>
      <c r="G72">
        <v>1</v>
      </c>
      <c r="H72">
        <v>2</v>
      </c>
      <c r="I72" t="s">
        <v>462</v>
      </c>
      <c r="J72" t="s">
        <v>463</v>
      </c>
      <c r="K72" t="s">
        <v>464</v>
      </c>
      <c r="L72">
        <v>1368</v>
      </c>
      <c r="N72">
        <v>1011</v>
      </c>
      <c r="O72" t="s">
        <v>465</v>
      </c>
      <c r="P72" t="s">
        <v>465</v>
      </c>
      <c r="Q72">
        <v>1</v>
      </c>
      <c r="X72">
        <v>0.01</v>
      </c>
      <c r="Y72">
        <v>0</v>
      </c>
      <c r="Z72">
        <v>31.26</v>
      </c>
      <c r="AA72">
        <v>13.5</v>
      </c>
      <c r="AB72">
        <v>0</v>
      </c>
      <c r="AC72">
        <v>0</v>
      </c>
      <c r="AD72">
        <v>1</v>
      </c>
      <c r="AE72">
        <v>0</v>
      </c>
      <c r="AF72" t="s">
        <v>32</v>
      </c>
      <c r="AG72">
        <v>1.2500000000000001E-2</v>
      </c>
      <c r="AH72">
        <v>2</v>
      </c>
      <c r="AI72">
        <v>39617848</v>
      </c>
      <c r="AJ72">
        <v>73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ROW(Source!A57)</f>
        <v>57</v>
      </c>
      <c r="B73">
        <v>39617849</v>
      </c>
      <c r="C73">
        <v>39617845</v>
      </c>
      <c r="D73">
        <v>36883554</v>
      </c>
      <c r="E73">
        <v>1</v>
      </c>
      <c r="F73">
        <v>1</v>
      </c>
      <c r="G73">
        <v>1</v>
      </c>
      <c r="H73">
        <v>2</v>
      </c>
      <c r="I73" t="s">
        <v>468</v>
      </c>
      <c r="J73" t="s">
        <v>469</v>
      </c>
      <c r="K73" t="s">
        <v>470</v>
      </c>
      <c r="L73">
        <v>1368</v>
      </c>
      <c r="N73">
        <v>1011</v>
      </c>
      <c r="O73" t="s">
        <v>465</v>
      </c>
      <c r="P73" t="s">
        <v>465</v>
      </c>
      <c r="Q73">
        <v>1</v>
      </c>
      <c r="X73">
        <v>0.01</v>
      </c>
      <c r="Y73">
        <v>0</v>
      </c>
      <c r="Z73">
        <v>65.709999999999994</v>
      </c>
      <c r="AA73">
        <v>11.6</v>
      </c>
      <c r="AB73">
        <v>0</v>
      </c>
      <c r="AC73">
        <v>0</v>
      </c>
      <c r="AD73">
        <v>1</v>
      </c>
      <c r="AE73">
        <v>0</v>
      </c>
      <c r="AF73" t="s">
        <v>32</v>
      </c>
      <c r="AG73">
        <v>1.2500000000000001E-2</v>
      </c>
      <c r="AH73">
        <v>2</v>
      </c>
      <c r="AI73">
        <v>39617849</v>
      </c>
      <c r="AJ73">
        <v>74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ROW(Source!A57)</f>
        <v>57</v>
      </c>
      <c r="B74">
        <v>39617850</v>
      </c>
      <c r="C74">
        <v>39617845</v>
      </c>
      <c r="D74">
        <v>36805524</v>
      </c>
      <c r="E74">
        <v>1</v>
      </c>
      <c r="F74">
        <v>1</v>
      </c>
      <c r="G74">
        <v>1</v>
      </c>
      <c r="H74">
        <v>3</v>
      </c>
      <c r="I74" t="s">
        <v>490</v>
      </c>
      <c r="J74" t="s">
        <v>491</v>
      </c>
      <c r="K74" t="s">
        <v>492</v>
      </c>
      <c r="L74">
        <v>1346</v>
      </c>
      <c r="N74">
        <v>1009</v>
      </c>
      <c r="O74" t="s">
        <v>77</v>
      </c>
      <c r="P74" t="s">
        <v>77</v>
      </c>
      <c r="Q74">
        <v>1</v>
      </c>
      <c r="X74">
        <v>0.1</v>
      </c>
      <c r="Y74">
        <v>1.82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0.1</v>
      </c>
      <c r="AH74">
        <v>2</v>
      </c>
      <c r="AI74">
        <v>39617850</v>
      </c>
      <c r="AJ74">
        <v>75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ROW(Source!A57)</f>
        <v>57</v>
      </c>
      <c r="B75">
        <v>39617851</v>
      </c>
      <c r="C75">
        <v>39617845</v>
      </c>
      <c r="D75">
        <v>36797079</v>
      </c>
      <c r="E75">
        <v>17</v>
      </c>
      <c r="F75">
        <v>1</v>
      </c>
      <c r="G75">
        <v>1</v>
      </c>
      <c r="H75">
        <v>3</v>
      </c>
      <c r="I75" t="s">
        <v>159</v>
      </c>
      <c r="J75" t="s">
        <v>3</v>
      </c>
      <c r="K75" t="s">
        <v>160</v>
      </c>
      <c r="L75">
        <v>1348</v>
      </c>
      <c r="N75">
        <v>1009</v>
      </c>
      <c r="O75" t="s">
        <v>72</v>
      </c>
      <c r="P75" t="s">
        <v>72</v>
      </c>
      <c r="Q75">
        <v>1000</v>
      </c>
      <c r="X75">
        <v>1.2999999999999999E-2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3</v>
      </c>
      <c r="AG75">
        <v>1.2999999999999999E-2</v>
      </c>
      <c r="AH75">
        <v>2</v>
      </c>
      <c r="AI75">
        <v>39617851</v>
      </c>
      <c r="AJ75">
        <v>77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ROW(Source!A60)</f>
        <v>60</v>
      </c>
      <c r="B76">
        <v>39617456</v>
      </c>
      <c r="C76">
        <v>39617455</v>
      </c>
      <c r="D76">
        <v>37064978</v>
      </c>
      <c r="E76">
        <v>1</v>
      </c>
      <c r="F76">
        <v>1</v>
      </c>
      <c r="G76">
        <v>1</v>
      </c>
      <c r="H76">
        <v>1</v>
      </c>
      <c r="I76" t="s">
        <v>540</v>
      </c>
      <c r="J76" t="s">
        <v>3</v>
      </c>
      <c r="K76" t="s">
        <v>541</v>
      </c>
      <c r="L76">
        <v>1191</v>
      </c>
      <c r="N76">
        <v>1013</v>
      </c>
      <c r="O76" t="s">
        <v>459</v>
      </c>
      <c r="P76" t="s">
        <v>459</v>
      </c>
      <c r="Q76">
        <v>1</v>
      </c>
      <c r="X76">
        <v>33.630000000000003</v>
      </c>
      <c r="Y76">
        <v>0</v>
      </c>
      <c r="Z76">
        <v>0</v>
      </c>
      <c r="AA76">
        <v>0</v>
      </c>
      <c r="AB76">
        <v>8.86</v>
      </c>
      <c r="AC76">
        <v>0</v>
      </c>
      <c r="AD76">
        <v>1</v>
      </c>
      <c r="AE76">
        <v>1</v>
      </c>
      <c r="AF76" t="s">
        <v>33</v>
      </c>
      <c r="AG76">
        <v>38.674500000000002</v>
      </c>
      <c r="AH76">
        <v>2</v>
      </c>
      <c r="AI76">
        <v>39617456</v>
      </c>
      <c r="AJ76">
        <v>78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ROW(Source!A60)</f>
        <v>60</v>
      </c>
      <c r="B77">
        <v>39617457</v>
      </c>
      <c r="C77">
        <v>39617455</v>
      </c>
      <c r="D77">
        <v>37064876</v>
      </c>
      <c r="E77">
        <v>1</v>
      </c>
      <c r="F77">
        <v>1</v>
      </c>
      <c r="G77">
        <v>1</v>
      </c>
      <c r="H77">
        <v>1</v>
      </c>
      <c r="I77" t="s">
        <v>460</v>
      </c>
      <c r="J77" t="s">
        <v>3</v>
      </c>
      <c r="K77" t="s">
        <v>461</v>
      </c>
      <c r="L77">
        <v>1191</v>
      </c>
      <c r="N77">
        <v>1013</v>
      </c>
      <c r="O77" t="s">
        <v>459</v>
      </c>
      <c r="P77" t="s">
        <v>459</v>
      </c>
      <c r="Q77">
        <v>1</v>
      </c>
      <c r="X77">
        <v>0.02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2</v>
      </c>
      <c r="AF77" t="s">
        <v>32</v>
      </c>
      <c r="AG77">
        <v>2.5000000000000001E-2</v>
      </c>
      <c r="AH77">
        <v>2</v>
      </c>
      <c r="AI77">
        <v>39617457</v>
      </c>
      <c r="AJ77">
        <v>79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ROW(Source!A60)</f>
        <v>60</v>
      </c>
      <c r="B78">
        <v>39617458</v>
      </c>
      <c r="C78">
        <v>39617455</v>
      </c>
      <c r="D78">
        <v>36882452</v>
      </c>
      <c r="E78">
        <v>1</v>
      </c>
      <c r="F78">
        <v>1</v>
      </c>
      <c r="G78">
        <v>1</v>
      </c>
      <c r="H78">
        <v>2</v>
      </c>
      <c r="I78" t="s">
        <v>462</v>
      </c>
      <c r="J78" t="s">
        <v>463</v>
      </c>
      <c r="K78" t="s">
        <v>464</v>
      </c>
      <c r="L78">
        <v>1368</v>
      </c>
      <c r="N78">
        <v>1011</v>
      </c>
      <c r="O78" t="s">
        <v>465</v>
      </c>
      <c r="P78" t="s">
        <v>465</v>
      </c>
      <c r="Q78">
        <v>1</v>
      </c>
      <c r="X78">
        <v>0.01</v>
      </c>
      <c r="Y78">
        <v>0</v>
      </c>
      <c r="Z78">
        <v>31.26</v>
      </c>
      <c r="AA78">
        <v>13.5</v>
      </c>
      <c r="AB78">
        <v>0</v>
      </c>
      <c r="AC78">
        <v>0</v>
      </c>
      <c r="AD78">
        <v>1</v>
      </c>
      <c r="AE78">
        <v>0</v>
      </c>
      <c r="AF78" t="s">
        <v>32</v>
      </c>
      <c r="AG78">
        <v>1.2500000000000001E-2</v>
      </c>
      <c r="AH78">
        <v>2</v>
      </c>
      <c r="AI78">
        <v>39617458</v>
      </c>
      <c r="AJ78">
        <v>80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ROW(Source!A60)</f>
        <v>60</v>
      </c>
      <c r="B79">
        <v>39617459</v>
      </c>
      <c r="C79">
        <v>39617455</v>
      </c>
      <c r="D79">
        <v>36883554</v>
      </c>
      <c r="E79">
        <v>1</v>
      </c>
      <c r="F79">
        <v>1</v>
      </c>
      <c r="G79">
        <v>1</v>
      </c>
      <c r="H79">
        <v>2</v>
      </c>
      <c r="I79" t="s">
        <v>468</v>
      </c>
      <c r="J79" t="s">
        <v>469</v>
      </c>
      <c r="K79" t="s">
        <v>470</v>
      </c>
      <c r="L79">
        <v>1368</v>
      </c>
      <c r="N79">
        <v>1011</v>
      </c>
      <c r="O79" t="s">
        <v>465</v>
      </c>
      <c r="P79" t="s">
        <v>465</v>
      </c>
      <c r="Q79">
        <v>1</v>
      </c>
      <c r="X79">
        <v>0.01</v>
      </c>
      <c r="Y79">
        <v>0</v>
      </c>
      <c r="Z79">
        <v>65.709999999999994</v>
      </c>
      <c r="AA79">
        <v>11.6</v>
      </c>
      <c r="AB79">
        <v>0</v>
      </c>
      <c r="AC79">
        <v>0</v>
      </c>
      <c r="AD79">
        <v>1</v>
      </c>
      <c r="AE79">
        <v>0</v>
      </c>
      <c r="AF79" t="s">
        <v>32</v>
      </c>
      <c r="AG79">
        <v>1.2500000000000001E-2</v>
      </c>
      <c r="AH79">
        <v>2</v>
      </c>
      <c r="AI79">
        <v>39617459</v>
      </c>
      <c r="AJ79">
        <v>81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ROW(Source!A60)</f>
        <v>60</v>
      </c>
      <c r="B80">
        <v>39617460</v>
      </c>
      <c r="C80">
        <v>39617455</v>
      </c>
      <c r="D80">
        <v>36797604</v>
      </c>
      <c r="E80">
        <v>17</v>
      </c>
      <c r="F80">
        <v>1</v>
      </c>
      <c r="G80">
        <v>1</v>
      </c>
      <c r="H80">
        <v>3</v>
      </c>
      <c r="I80" t="s">
        <v>171</v>
      </c>
      <c r="J80" t="s">
        <v>3</v>
      </c>
      <c r="K80" t="s">
        <v>172</v>
      </c>
      <c r="L80">
        <v>1328</v>
      </c>
      <c r="N80">
        <v>1005</v>
      </c>
      <c r="O80" t="s">
        <v>25</v>
      </c>
      <c r="P80" t="s">
        <v>25</v>
      </c>
      <c r="Q80">
        <v>100</v>
      </c>
      <c r="X80">
        <v>1.1299999999999999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3</v>
      </c>
      <c r="AG80">
        <v>1.1299999999999999</v>
      </c>
      <c r="AH80">
        <v>2</v>
      </c>
      <c r="AI80">
        <v>39617460</v>
      </c>
      <c r="AJ80">
        <v>82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ROW(Source!A60)</f>
        <v>60</v>
      </c>
      <c r="B81">
        <v>39617461</v>
      </c>
      <c r="C81">
        <v>39617455</v>
      </c>
      <c r="D81">
        <v>36801783</v>
      </c>
      <c r="E81">
        <v>1</v>
      </c>
      <c r="F81">
        <v>1</v>
      </c>
      <c r="G81">
        <v>1</v>
      </c>
      <c r="H81">
        <v>3</v>
      </c>
      <c r="I81" t="s">
        <v>542</v>
      </c>
      <c r="J81" t="s">
        <v>543</v>
      </c>
      <c r="K81" t="s">
        <v>544</v>
      </c>
      <c r="L81">
        <v>1348</v>
      </c>
      <c r="N81">
        <v>1009</v>
      </c>
      <c r="O81" t="s">
        <v>72</v>
      </c>
      <c r="P81" t="s">
        <v>72</v>
      </c>
      <c r="Q81">
        <v>1000</v>
      </c>
      <c r="X81">
        <v>7.1000000000000004E-3</v>
      </c>
      <c r="Y81">
        <v>5650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7.1000000000000004E-3</v>
      </c>
      <c r="AH81">
        <v>2</v>
      </c>
      <c r="AI81">
        <v>39617461</v>
      </c>
      <c r="AJ81">
        <v>84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ROW(Source!A60)</f>
        <v>60</v>
      </c>
      <c r="B82">
        <v>39617462</v>
      </c>
      <c r="C82">
        <v>39617455</v>
      </c>
      <c r="D82">
        <v>36801792</v>
      </c>
      <c r="E82">
        <v>1</v>
      </c>
      <c r="F82">
        <v>1</v>
      </c>
      <c r="G82">
        <v>1</v>
      </c>
      <c r="H82">
        <v>3</v>
      </c>
      <c r="I82" t="s">
        <v>476</v>
      </c>
      <c r="J82" t="s">
        <v>477</v>
      </c>
      <c r="K82" t="s">
        <v>478</v>
      </c>
      <c r="L82">
        <v>1339</v>
      </c>
      <c r="N82">
        <v>1007</v>
      </c>
      <c r="O82" t="s">
        <v>119</v>
      </c>
      <c r="P82" t="s">
        <v>119</v>
      </c>
      <c r="Q82">
        <v>1</v>
      </c>
      <c r="X82">
        <v>0.01</v>
      </c>
      <c r="Y82">
        <v>2.44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0.01</v>
      </c>
      <c r="AH82">
        <v>2</v>
      </c>
      <c r="AI82">
        <v>39617462</v>
      </c>
      <c r="AJ82">
        <v>85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ROW(Source!A60)</f>
        <v>60</v>
      </c>
      <c r="B83">
        <v>39617463</v>
      </c>
      <c r="C83">
        <v>39617455</v>
      </c>
      <c r="D83">
        <v>36805524</v>
      </c>
      <c r="E83">
        <v>1</v>
      </c>
      <c r="F83">
        <v>1</v>
      </c>
      <c r="G83">
        <v>1</v>
      </c>
      <c r="H83">
        <v>3</v>
      </c>
      <c r="I83" t="s">
        <v>490</v>
      </c>
      <c r="J83" t="s">
        <v>491</v>
      </c>
      <c r="K83" t="s">
        <v>492</v>
      </c>
      <c r="L83">
        <v>1346</v>
      </c>
      <c r="N83">
        <v>1009</v>
      </c>
      <c r="O83" t="s">
        <v>77</v>
      </c>
      <c r="P83" t="s">
        <v>77</v>
      </c>
      <c r="Q83">
        <v>1</v>
      </c>
      <c r="X83">
        <v>0.01</v>
      </c>
      <c r="Y83">
        <v>1.82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0.01</v>
      </c>
      <c r="AH83">
        <v>2</v>
      </c>
      <c r="AI83">
        <v>39617463</v>
      </c>
      <c r="AJ83">
        <v>86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ROW(Source!A60)</f>
        <v>60</v>
      </c>
      <c r="B84">
        <v>39617464</v>
      </c>
      <c r="C84">
        <v>39617455</v>
      </c>
      <c r="D84">
        <v>36806413</v>
      </c>
      <c r="E84">
        <v>1</v>
      </c>
      <c r="F84">
        <v>1</v>
      </c>
      <c r="G84">
        <v>1</v>
      </c>
      <c r="H84">
        <v>3</v>
      </c>
      <c r="I84" t="s">
        <v>545</v>
      </c>
      <c r="J84" t="s">
        <v>546</v>
      </c>
      <c r="K84" t="s">
        <v>547</v>
      </c>
      <c r="L84">
        <v>1339</v>
      </c>
      <c r="N84">
        <v>1007</v>
      </c>
      <c r="O84" t="s">
        <v>119</v>
      </c>
      <c r="P84" t="s">
        <v>119</v>
      </c>
      <c r="Q84">
        <v>1</v>
      </c>
      <c r="X84">
        <v>4.0000000000000002E-4</v>
      </c>
      <c r="Y84">
        <v>74.58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4.0000000000000002E-4</v>
      </c>
      <c r="AH84">
        <v>2</v>
      </c>
      <c r="AI84">
        <v>39617464</v>
      </c>
      <c r="AJ84">
        <v>87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ROW(Source!A60)</f>
        <v>60</v>
      </c>
      <c r="B85">
        <v>39617465</v>
      </c>
      <c r="C85">
        <v>39617455</v>
      </c>
      <c r="D85">
        <v>36836966</v>
      </c>
      <c r="E85">
        <v>1</v>
      </c>
      <c r="F85">
        <v>1</v>
      </c>
      <c r="G85">
        <v>1</v>
      </c>
      <c r="H85">
        <v>3</v>
      </c>
      <c r="I85" t="s">
        <v>548</v>
      </c>
      <c r="J85" t="s">
        <v>549</v>
      </c>
      <c r="K85" t="s">
        <v>550</v>
      </c>
      <c r="L85">
        <v>1348</v>
      </c>
      <c r="N85">
        <v>1009</v>
      </c>
      <c r="O85" t="s">
        <v>72</v>
      </c>
      <c r="P85" t="s">
        <v>72</v>
      </c>
      <c r="Q85">
        <v>1000</v>
      </c>
      <c r="X85">
        <v>2E-3</v>
      </c>
      <c r="Y85">
        <v>25990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2E-3</v>
      </c>
      <c r="AH85">
        <v>2</v>
      </c>
      <c r="AI85">
        <v>39617465</v>
      </c>
      <c r="AJ85">
        <v>88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ROW(Source!A60)</f>
        <v>60</v>
      </c>
      <c r="B86">
        <v>39617466</v>
      </c>
      <c r="C86">
        <v>39617455</v>
      </c>
      <c r="D86">
        <v>36839212</v>
      </c>
      <c r="E86">
        <v>1</v>
      </c>
      <c r="F86">
        <v>1</v>
      </c>
      <c r="G86">
        <v>1</v>
      </c>
      <c r="H86">
        <v>3</v>
      </c>
      <c r="I86" t="s">
        <v>551</v>
      </c>
      <c r="J86" t="s">
        <v>552</v>
      </c>
      <c r="K86" t="s">
        <v>553</v>
      </c>
      <c r="L86">
        <v>1348</v>
      </c>
      <c r="N86">
        <v>1009</v>
      </c>
      <c r="O86" t="s">
        <v>72</v>
      </c>
      <c r="P86" t="s">
        <v>72</v>
      </c>
      <c r="Q86">
        <v>1000</v>
      </c>
      <c r="X86">
        <v>6.7000000000000002E-3</v>
      </c>
      <c r="Y86">
        <v>4294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6.7000000000000002E-3</v>
      </c>
      <c r="AH86">
        <v>2</v>
      </c>
      <c r="AI86">
        <v>39617466</v>
      </c>
      <c r="AJ86">
        <v>89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ROW(Source!A63)</f>
        <v>63</v>
      </c>
      <c r="B87">
        <v>39617469</v>
      </c>
      <c r="C87">
        <v>39617468</v>
      </c>
      <c r="D87">
        <v>37070090</v>
      </c>
      <c r="E87">
        <v>1</v>
      </c>
      <c r="F87">
        <v>1</v>
      </c>
      <c r="G87">
        <v>1</v>
      </c>
      <c r="H87">
        <v>1</v>
      </c>
      <c r="I87" t="s">
        <v>554</v>
      </c>
      <c r="J87" t="s">
        <v>3</v>
      </c>
      <c r="K87" t="s">
        <v>555</v>
      </c>
      <c r="L87">
        <v>1191</v>
      </c>
      <c r="N87">
        <v>1013</v>
      </c>
      <c r="O87" t="s">
        <v>459</v>
      </c>
      <c r="P87" t="s">
        <v>459</v>
      </c>
      <c r="Q87">
        <v>1</v>
      </c>
      <c r="X87">
        <v>25.41</v>
      </c>
      <c r="Y87">
        <v>0</v>
      </c>
      <c r="Z87">
        <v>0</v>
      </c>
      <c r="AA87">
        <v>0</v>
      </c>
      <c r="AB87">
        <v>8.9700000000000006</v>
      </c>
      <c r="AC87">
        <v>0</v>
      </c>
      <c r="AD87">
        <v>1</v>
      </c>
      <c r="AE87">
        <v>1</v>
      </c>
      <c r="AF87" t="s">
        <v>33</v>
      </c>
      <c r="AG87">
        <v>29.221499999999999</v>
      </c>
      <c r="AH87">
        <v>2</v>
      </c>
      <c r="AI87">
        <v>39617469</v>
      </c>
      <c r="AJ87">
        <v>90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ROW(Source!A63)</f>
        <v>63</v>
      </c>
      <c r="B88">
        <v>39617470</v>
      </c>
      <c r="C88">
        <v>39617468</v>
      </c>
      <c r="D88">
        <v>37064876</v>
      </c>
      <c r="E88">
        <v>1</v>
      </c>
      <c r="F88">
        <v>1</v>
      </c>
      <c r="G88">
        <v>1</v>
      </c>
      <c r="H88">
        <v>1</v>
      </c>
      <c r="I88" t="s">
        <v>460</v>
      </c>
      <c r="J88" t="s">
        <v>3</v>
      </c>
      <c r="K88" t="s">
        <v>461</v>
      </c>
      <c r="L88">
        <v>1191</v>
      </c>
      <c r="N88">
        <v>1013</v>
      </c>
      <c r="O88" t="s">
        <v>459</v>
      </c>
      <c r="P88" t="s">
        <v>459</v>
      </c>
      <c r="Q88">
        <v>1</v>
      </c>
      <c r="X88">
        <v>0.11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32</v>
      </c>
      <c r="AG88">
        <v>0.13750000000000001</v>
      </c>
      <c r="AH88">
        <v>2</v>
      </c>
      <c r="AI88">
        <v>39617470</v>
      </c>
      <c r="AJ88">
        <v>91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ROW(Source!A63)</f>
        <v>63</v>
      </c>
      <c r="B89">
        <v>39617471</v>
      </c>
      <c r="C89">
        <v>39617468</v>
      </c>
      <c r="D89">
        <v>36882452</v>
      </c>
      <c r="E89">
        <v>1</v>
      </c>
      <c r="F89">
        <v>1</v>
      </c>
      <c r="G89">
        <v>1</v>
      </c>
      <c r="H89">
        <v>2</v>
      </c>
      <c r="I89" t="s">
        <v>462</v>
      </c>
      <c r="J89" t="s">
        <v>463</v>
      </c>
      <c r="K89" t="s">
        <v>464</v>
      </c>
      <c r="L89">
        <v>1368</v>
      </c>
      <c r="N89">
        <v>1011</v>
      </c>
      <c r="O89" t="s">
        <v>465</v>
      </c>
      <c r="P89" t="s">
        <v>465</v>
      </c>
      <c r="Q89">
        <v>1</v>
      </c>
      <c r="X89">
        <v>0.01</v>
      </c>
      <c r="Y89">
        <v>0</v>
      </c>
      <c r="Z89">
        <v>31.26</v>
      </c>
      <c r="AA89">
        <v>13.5</v>
      </c>
      <c r="AB89">
        <v>0</v>
      </c>
      <c r="AC89">
        <v>0</v>
      </c>
      <c r="AD89">
        <v>1</v>
      </c>
      <c r="AE89">
        <v>0</v>
      </c>
      <c r="AF89" t="s">
        <v>32</v>
      </c>
      <c r="AG89">
        <v>1.2500000000000001E-2</v>
      </c>
      <c r="AH89">
        <v>2</v>
      </c>
      <c r="AI89">
        <v>39617471</v>
      </c>
      <c r="AJ89">
        <v>92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ROW(Source!A63)</f>
        <v>63</v>
      </c>
      <c r="B90">
        <v>39617472</v>
      </c>
      <c r="C90">
        <v>39617468</v>
      </c>
      <c r="D90">
        <v>36883554</v>
      </c>
      <c r="E90">
        <v>1</v>
      </c>
      <c r="F90">
        <v>1</v>
      </c>
      <c r="G90">
        <v>1</v>
      </c>
      <c r="H90">
        <v>2</v>
      </c>
      <c r="I90" t="s">
        <v>468</v>
      </c>
      <c r="J90" t="s">
        <v>469</v>
      </c>
      <c r="K90" t="s">
        <v>470</v>
      </c>
      <c r="L90">
        <v>1368</v>
      </c>
      <c r="N90">
        <v>1011</v>
      </c>
      <c r="O90" t="s">
        <v>465</v>
      </c>
      <c r="P90" t="s">
        <v>465</v>
      </c>
      <c r="Q90">
        <v>1</v>
      </c>
      <c r="X90">
        <v>0.1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32</v>
      </c>
      <c r="AG90">
        <v>0.125</v>
      </c>
      <c r="AH90">
        <v>2</v>
      </c>
      <c r="AI90">
        <v>39617472</v>
      </c>
      <c r="AJ90">
        <v>93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ROW(Source!A63)</f>
        <v>63</v>
      </c>
      <c r="B91">
        <v>39617473</v>
      </c>
      <c r="C91">
        <v>39617468</v>
      </c>
      <c r="D91">
        <v>36805188</v>
      </c>
      <c r="E91">
        <v>1</v>
      </c>
      <c r="F91">
        <v>1</v>
      </c>
      <c r="G91">
        <v>1</v>
      </c>
      <c r="H91">
        <v>3</v>
      </c>
      <c r="I91" t="s">
        <v>556</v>
      </c>
      <c r="J91" t="s">
        <v>557</v>
      </c>
      <c r="K91" t="s">
        <v>558</v>
      </c>
      <c r="L91">
        <v>1327</v>
      </c>
      <c r="N91">
        <v>1005</v>
      </c>
      <c r="O91" t="s">
        <v>67</v>
      </c>
      <c r="P91" t="s">
        <v>67</v>
      </c>
      <c r="Q91">
        <v>1</v>
      </c>
      <c r="X91">
        <v>0.84</v>
      </c>
      <c r="Y91">
        <v>72.319999999999993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0.84</v>
      </c>
      <c r="AH91">
        <v>2</v>
      </c>
      <c r="AI91">
        <v>39617473</v>
      </c>
      <c r="AJ91">
        <v>94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ROW(Source!A63)</f>
        <v>63</v>
      </c>
      <c r="B92">
        <v>39617474</v>
      </c>
      <c r="C92">
        <v>39617468</v>
      </c>
      <c r="D92">
        <v>36805524</v>
      </c>
      <c r="E92">
        <v>1</v>
      </c>
      <c r="F92">
        <v>1</v>
      </c>
      <c r="G92">
        <v>1</v>
      </c>
      <c r="H92">
        <v>3</v>
      </c>
      <c r="I92" t="s">
        <v>490</v>
      </c>
      <c r="J92" t="s">
        <v>491</v>
      </c>
      <c r="K92" t="s">
        <v>492</v>
      </c>
      <c r="L92">
        <v>1346</v>
      </c>
      <c r="N92">
        <v>1009</v>
      </c>
      <c r="O92" t="s">
        <v>77</v>
      </c>
      <c r="P92" t="s">
        <v>77</v>
      </c>
      <c r="Q92">
        <v>1</v>
      </c>
      <c r="X92">
        <v>0.31</v>
      </c>
      <c r="Y92">
        <v>1.82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0.31</v>
      </c>
      <c r="AH92">
        <v>2</v>
      </c>
      <c r="AI92">
        <v>39617474</v>
      </c>
      <c r="AJ92">
        <v>95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ROW(Source!A63)</f>
        <v>63</v>
      </c>
      <c r="B93">
        <v>39617475</v>
      </c>
      <c r="C93">
        <v>39617468</v>
      </c>
      <c r="D93">
        <v>36797561</v>
      </c>
      <c r="E93">
        <v>17</v>
      </c>
      <c r="F93">
        <v>1</v>
      </c>
      <c r="G93">
        <v>1</v>
      </c>
      <c r="H93">
        <v>3</v>
      </c>
      <c r="I93" t="s">
        <v>182</v>
      </c>
      <c r="J93" t="s">
        <v>3</v>
      </c>
      <c r="K93" t="s">
        <v>183</v>
      </c>
      <c r="L93">
        <v>1348</v>
      </c>
      <c r="N93">
        <v>1009</v>
      </c>
      <c r="O93" t="s">
        <v>72</v>
      </c>
      <c r="P93" t="s">
        <v>72</v>
      </c>
      <c r="Q93">
        <v>1000</v>
      </c>
      <c r="X93">
        <v>6.3E-2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3</v>
      </c>
      <c r="AG93">
        <v>6.3E-2</v>
      </c>
      <c r="AH93">
        <v>2</v>
      </c>
      <c r="AI93">
        <v>39617475</v>
      </c>
      <c r="AJ93">
        <v>96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ROW(Source!A63)</f>
        <v>63</v>
      </c>
      <c r="B94">
        <v>39617476</v>
      </c>
      <c r="C94">
        <v>39617468</v>
      </c>
      <c r="D94">
        <v>36839212</v>
      </c>
      <c r="E94">
        <v>1</v>
      </c>
      <c r="F94">
        <v>1</v>
      </c>
      <c r="G94">
        <v>1</v>
      </c>
      <c r="H94">
        <v>3</v>
      </c>
      <c r="I94" t="s">
        <v>551</v>
      </c>
      <c r="J94" t="s">
        <v>552</v>
      </c>
      <c r="K94" t="s">
        <v>553</v>
      </c>
      <c r="L94">
        <v>1348</v>
      </c>
      <c r="N94">
        <v>1009</v>
      </c>
      <c r="O94" t="s">
        <v>72</v>
      </c>
      <c r="P94" t="s">
        <v>72</v>
      </c>
      <c r="Q94">
        <v>1000</v>
      </c>
      <c r="X94">
        <v>5.0000000000000001E-3</v>
      </c>
      <c r="Y94">
        <v>4294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5.0000000000000001E-3</v>
      </c>
      <c r="AH94">
        <v>2</v>
      </c>
      <c r="AI94">
        <v>39617476</v>
      </c>
      <c r="AJ94">
        <v>97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ROW(Source!A66)</f>
        <v>66</v>
      </c>
      <c r="B95">
        <v>39617479</v>
      </c>
      <c r="C95">
        <v>39617478</v>
      </c>
      <c r="D95">
        <v>37071037</v>
      </c>
      <c r="E95">
        <v>1</v>
      </c>
      <c r="F95">
        <v>1</v>
      </c>
      <c r="G95">
        <v>1</v>
      </c>
      <c r="H95">
        <v>1</v>
      </c>
      <c r="I95" t="s">
        <v>538</v>
      </c>
      <c r="J95" t="s">
        <v>3</v>
      </c>
      <c r="K95" t="s">
        <v>539</v>
      </c>
      <c r="L95">
        <v>1191</v>
      </c>
      <c r="N95">
        <v>1013</v>
      </c>
      <c r="O95" t="s">
        <v>459</v>
      </c>
      <c r="P95" t="s">
        <v>459</v>
      </c>
      <c r="Q95">
        <v>1</v>
      </c>
      <c r="X95">
        <v>8.3800000000000008</v>
      </c>
      <c r="Y95">
        <v>0</v>
      </c>
      <c r="Z95">
        <v>0</v>
      </c>
      <c r="AA95">
        <v>0</v>
      </c>
      <c r="AB95">
        <v>9.6199999999999992</v>
      </c>
      <c r="AC95">
        <v>0</v>
      </c>
      <c r="AD95">
        <v>1</v>
      </c>
      <c r="AE95">
        <v>1</v>
      </c>
      <c r="AF95" t="s">
        <v>33</v>
      </c>
      <c r="AG95">
        <v>9.6370000000000005</v>
      </c>
      <c r="AH95">
        <v>2</v>
      </c>
      <c r="AI95">
        <v>39617479</v>
      </c>
      <c r="AJ95">
        <v>99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ROW(Source!A66)</f>
        <v>66</v>
      </c>
      <c r="B96">
        <v>39617480</v>
      </c>
      <c r="C96">
        <v>39617478</v>
      </c>
      <c r="D96">
        <v>36797607</v>
      </c>
      <c r="E96">
        <v>17</v>
      </c>
      <c r="F96">
        <v>1</v>
      </c>
      <c r="G96">
        <v>1</v>
      </c>
      <c r="H96">
        <v>3</v>
      </c>
      <c r="I96" t="s">
        <v>190</v>
      </c>
      <c r="J96" t="s">
        <v>3</v>
      </c>
      <c r="K96" t="s">
        <v>191</v>
      </c>
      <c r="L96">
        <v>1348</v>
      </c>
      <c r="N96">
        <v>1009</v>
      </c>
      <c r="O96" t="s">
        <v>72</v>
      </c>
      <c r="P96" t="s">
        <v>72</v>
      </c>
      <c r="Q96">
        <v>1000</v>
      </c>
      <c r="X96">
        <v>1.6E-2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 t="s">
        <v>3</v>
      </c>
      <c r="AG96">
        <v>1.6E-2</v>
      </c>
      <c r="AH96">
        <v>2</v>
      </c>
      <c r="AI96">
        <v>39617480</v>
      </c>
      <c r="AJ96">
        <v>100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ROW(Source!A69)</f>
        <v>69</v>
      </c>
      <c r="B97">
        <v>39617483</v>
      </c>
      <c r="C97">
        <v>39617482</v>
      </c>
      <c r="D97">
        <v>37068148</v>
      </c>
      <c r="E97">
        <v>1</v>
      </c>
      <c r="F97">
        <v>1</v>
      </c>
      <c r="G97">
        <v>1</v>
      </c>
      <c r="H97">
        <v>1</v>
      </c>
      <c r="I97" t="s">
        <v>512</v>
      </c>
      <c r="J97" t="s">
        <v>3</v>
      </c>
      <c r="K97" t="s">
        <v>513</v>
      </c>
      <c r="L97">
        <v>1191</v>
      </c>
      <c r="N97">
        <v>1013</v>
      </c>
      <c r="O97" t="s">
        <v>459</v>
      </c>
      <c r="P97" t="s">
        <v>459</v>
      </c>
      <c r="Q97">
        <v>1</v>
      </c>
      <c r="X97">
        <v>80.599999999999994</v>
      </c>
      <c r="Y97">
        <v>0</v>
      </c>
      <c r="Z97">
        <v>0</v>
      </c>
      <c r="AA97">
        <v>0</v>
      </c>
      <c r="AB97">
        <v>8.09</v>
      </c>
      <c r="AC97">
        <v>0</v>
      </c>
      <c r="AD97">
        <v>1</v>
      </c>
      <c r="AE97">
        <v>1</v>
      </c>
      <c r="AF97" t="s">
        <v>3</v>
      </c>
      <c r="AG97">
        <v>80.599999999999994</v>
      </c>
      <c r="AH97">
        <v>2</v>
      </c>
      <c r="AI97">
        <v>39617483</v>
      </c>
      <c r="AJ97">
        <v>102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ROW(Source!A69)</f>
        <v>69</v>
      </c>
      <c r="B98">
        <v>39617484</v>
      </c>
      <c r="C98">
        <v>39617482</v>
      </c>
      <c r="D98">
        <v>37064876</v>
      </c>
      <c r="E98">
        <v>1</v>
      </c>
      <c r="F98">
        <v>1</v>
      </c>
      <c r="G98">
        <v>1</v>
      </c>
      <c r="H98">
        <v>1</v>
      </c>
      <c r="I98" t="s">
        <v>460</v>
      </c>
      <c r="J98" t="s">
        <v>3</v>
      </c>
      <c r="K98" t="s">
        <v>461</v>
      </c>
      <c r="L98">
        <v>1191</v>
      </c>
      <c r="N98">
        <v>1013</v>
      </c>
      <c r="O98" t="s">
        <v>459</v>
      </c>
      <c r="P98" t="s">
        <v>459</v>
      </c>
      <c r="Q98">
        <v>1</v>
      </c>
      <c r="X98">
        <v>0.01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2</v>
      </c>
      <c r="AF98" t="s">
        <v>3</v>
      </c>
      <c r="AG98">
        <v>0.01</v>
      </c>
      <c r="AH98">
        <v>2</v>
      </c>
      <c r="AI98">
        <v>39617484</v>
      </c>
      <c r="AJ98">
        <v>103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ROW(Source!A69)</f>
        <v>69</v>
      </c>
      <c r="B99">
        <v>39617485</v>
      </c>
      <c r="C99">
        <v>39617482</v>
      </c>
      <c r="D99">
        <v>36883554</v>
      </c>
      <c r="E99">
        <v>1</v>
      </c>
      <c r="F99">
        <v>1</v>
      </c>
      <c r="G99">
        <v>1</v>
      </c>
      <c r="H99">
        <v>2</v>
      </c>
      <c r="I99" t="s">
        <v>468</v>
      </c>
      <c r="J99" t="s">
        <v>469</v>
      </c>
      <c r="K99" t="s">
        <v>470</v>
      </c>
      <c r="L99">
        <v>1368</v>
      </c>
      <c r="N99">
        <v>1011</v>
      </c>
      <c r="O99" t="s">
        <v>465</v>
      </c>
      <c r="P99" t="s">
        <v>465</v>
      </c>
      <c r="Q99">
        <v>1</v>
      </c>
      <c r="X99">
        <v>0.01</v>
      </c>
      <c r="Y99">
        <v>0</v>
      </c>
      <c r="Z99">
        <v>65.709999999999994</v>
      </c>
      <c r="AA99">
        <v>11.6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0.01</v>
      </c>
      <c r="AH99">
        <v>2</v>
      </c>
      <c r="AI99">
        <v>39617485</v>
      </c>
      <c r="AJ99">
        <v>104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ROW(Source!A69)</f>
        <v>69</v>
      </c>
      <c r="B100">
        <v>39617486</v>
      </c>
      <c r="C100">
        <v>39617482</v>
      </c>
      <c r="D100">
        <v>36805524</v>
      </c>
      <c r="E100">
        <v>1</v>
      </c>
      <c r="F100">
        <v>1</v>
      </c>
      <c r="G100">
        <v>1</v>
      </c>
      <c r="H100">
        <v>3</v>
      </c>
      <c r="I100" t="s">
        <v>490</v>
      </c>
      <c r="J100" t="s">
        <v>491</v>
      </c>
      <c r="K100" t="s">
        <v>492</v>
      </c>
      <c r="L100">
        <v>1346</v>
      </c>
      <c r="N100">
        <v>1009</v>
      </c>
      <c r="O100" t="s">
        <v>77</v>
      </c>
      <c r="P100" t="s">
        <v>77</v>
      </c>
      <c r="Q100">
        <v>1</v>
      </c>
      <c r="X100">
        <v>0.1</v>
      </c>
      <c r="Y100">
        <v>1.82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0.1</v>
      </c>
      <c r="AH100">
        <v>2</v>
      </c>
      <c r="AI100">
        <v>39617486</v>
      </c>
      <c r="AJ100">
        <v>105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ROW(Source!A69)</f>
        <v>69</v>
      </c>
      <c r="B101">
        <v>39617487</v>
      </c>
      <c r="C101">
        <v>39617482</v>
      </c>
      <c r="D101">
        <v>36797575</v>
      </c>
      <c r="E101">
        <v>17</v>
      </c>
      <c r="F101">
        <v>1</v>
      </c>
      <c r="G101">
        <v>1</v>
      </c>
      <c r="H101">
        <v>3</v>
      </c>
      <c r="I101" t="s">
        <v>199</v>
      </c>
      <c r="J101" t="s">
        <v>3</v>
      </c>
      <c r="K101" t="s">
        <v>200</v>
      </c>
      <c r="L101">
        <v>1348</v>
      </c>
      <c r="N101">
        <v>1009</v>
      </c>
      <c r="O101" t="s">
        <v>72</v>
      </c>
      <c r="P101" t="s">
        <v>72</v>
      </c>
      <c r="Q101">
        <v>1000</v>
      </c>
      <c r="X101">
        <v>1.61E-2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3</v>
      </c>
      <c r="AG101">
        <v>1.61E-2</v>
      </c>
      <c r="AH101">
        <v>2</v>
      </c>
      <c r="AI101">
        <v>39617487</v>
      </c>
      <c r="AJ101">
        <v>106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ROW(Source!A69)</f>
        <v>69</v>
      </c>
      <c r="B102">
        <v>39617488</v>
      </c>
      <c r="C102">
        <v>39617482</v>
      </c>
      <c r="D102">
        <v>36838951</v>
      </c>
      <c r="E102">
        <v>1</v>
      </c>
      <c r="F102">
        <v>1</v>
      </c>
      <c r="G102">
        <v>1</v>
      </c>
      <c r="H102">
        <v>3</v>
      </c>
      <c r="I102" t="s">
        <v>559</v>
      </c>
      <c r="J102" t="s">
        <v>560</v>
      </c>
      <c r="K102" t="s">
        <v>561</v>
      </c>
      <c r="L102">
        <v>1348</v>
      </c>
      <c r="N102">
        <v>1009</v>
      </c>
      <c r="O102" t="s">
        <v>72</v>
      </c>
      <c r="P102" t="s">
        <v>72</v>
      </c>
      <c r="Q102">
        <v>1000</v>
      </c>
      <c r="X102">
        <v>8.9999999999999993E-3</v>
      </c>
      <c r="Y102">
        <v>16950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8.9999999999999993E-3</v>
      </c>
      <c r="AH102">
        <v>2</v>
      </c>
      <c r="AI102">
        <v>39617488</v>
      </c>
      <c r="AJ102">
        <v>107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ROW(Source!A105)</f>
        <v>105</v>
      </c>
      <c r="B103">
        <v>39617557</v>
      </c>
      <c r="C103">
        <v>39617556</v>
      </c>
      <c r="D103">
        <v>37066491</v>
      </c>
      <c r="E103">
        <v>1</v>
      </c>
      <c r="F103">
        <v>1</v>
      </c>
      <c r="G103">
        <v>1</v>
      </c>
      <c r="H103">
        <v>1</v>
      </c>
      <c r="I103" t="s">
        <v>562</v>
      </c>
      <c r="J103" t="s">
        <v>3</v>
      </c>
      <c r="K103" t="s">
        <v>563</v>
      </c>
      <c r="L103">
        <v>1191</v>
      </c>
      <c r="N103">
        <v>1013</v>
      </c>
      <c r="O103" t="s">
        <v>459</v>
      </c>
      <c r="P103" t="s">
        <v>459</v>
      </c>
      <c r="Q103">
        <v>1</v>
      </c>
      <c r="X103">
        <v>17.89</v>
      </c>
      <c r="Y103">
        <v>0</v>
      </c>
      <c r="Z103">
        <v>0</v>
      </c>
      <c r="AA103">
        <v>0</v>
      </c>
      <c r="AB103">
        <v>8.02</v>
      </c>
      <c r="AC103">
        <v>0</v>
      </c>
      <c r="AD103">
        <v>1</v>
      </c>
      <c r="AE103">
        <v>1</v>
      </c>
      <c r="AF103" t="s">
        <v>3</v>
      </c>
      <c r="AG103">
        <v>17.89</v>
      </c>
      <c r="AH103">
        <v>2</v>
      </c>
      <c r="AI103">
        <v>39617557</v>
      </c>
      <c r="AJ103">
        <v>108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ROW(Source!A105)</f>
        <v>105</v>
      </c>
      <c r="B104">
        <v>39617558</v>
      </c>
      <c r="C104">
        <v>39617556</v>
      </c>
      <c r="D104">
        <v>37064876</v>
      </c>
      <c r="E104">
        <v>1</v>
      </c>
      <c r="F104">
        <v>1</v>
      </c>
      <c r="G104">
        <v>1</v>
      </c>
      <c r="H104">
        <v>1</v>
      </c>
      <c r="I104" t="s">
        <v>460</v>
      </c>
      <c r="J104" t="s">
        <v>3</v>
      </c>
      <c r="K104" t="s">
        <v>461</v>
      </c>
      <c r="L104">
        <v>1191</v>
      </c>
      <c r="N104">
        <v>1013</v>
      </c>
      <c r="O104" t="s">
        <v>459</v>
      </c>
      <c r="P104" t="s">
        <v>459</v>
      </c>
      <c r="Q104">
        <v>1</v>
      </c>
      <c r="X104">
        <v>0.08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3</v>
      </c>
      <c r="AG104">
        <v>0.08</v>
      </c>
      <c r="AH104">
        <v>2</v>
      </c>
      <c r="AI104">
        <v>39617558</v>
      </c>
      <c r="AJ104">
        <v>109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ROW(Source!A105)</f>
        <v>105</v>
      </c>
      <c r="B105">
        <v>39617559</v>
      </c>
      <c r="C105">
        <v>39617556</v>
      </c>
      <c r="D105">
        <v>36882452</v>
      </c>
      <c r="E105">
        <v>1</v>
      </c>
      <c r="F105">
        <v>1</v>
      </c>
      <c r="G105">
        <v>1</v>
      </c>
      <c r="H105">
        <v>2</v>
      </c>
      <c r="I105" t="s">
        <v>462</v>
      </c>
      <c r="J105" t="s">
        <v>463</v>
      </c>
      <c r="K105" t="s">
        <v>464</v>
      </c>
      <c r="L105">
        <v>1368</v>
      </c>
      <c r="N105">
        <v>1011</v>
      </c>
      <c r="O105" t="s">
        <v>465</v>
      </c>
      <c r="P105" t="s">
        <v>465</v>
      </c>
      <c r="Q105">
        <v>1</v>
      </c>
      <c r="X105">
        <v>0.08</v>
      </c>
      <c r="Y105">
        <v>0</v>
      </c>
      <c r="Z105">
        <v>31.26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0.08</v>
      </c>
      <c r="AH105">
        <v>2</v>
      </c>
      <c r="AI105">
        <v>39617559</v>
      </c>
      <c r="AJ105">
        <v>110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ROW(Source!A106)</f>
        <v>106</v>
      </c>
      <c r="B106">
        <v>39617561</v>
      </c>
      <c r="C106">
        <v>39617560</v>
      </c>
      <c r="D106">
        <v>37077359</v>
      </c>
      <c r="E106">
        <v>1</v>
      </c>
      <c r="F106">
        <v>1</v>
      </c>
      <c r="G106">
        <v>1</v>
      </c>
      <c r="H106">
        <v>1</v>
      </c>
      <c r="I106" t="s">
        <v>564</v>
      </c>
      <c r="J106" t="s">
        <v>3</v>
      </c>
      <c r="K106" t="s">
        <v>565</v>
      </c>
      <c r="L106">
        <v>1191</v>
      </c>
      <c r="N106">
        <v>1013</v>
      </c>
      <c r="O106" t="s">
        <v>459</v>
      </c>
      <c r="P106" t="s">
        <v>459</v>
      </c>
      <c r="Q106">
        <v>1</v>
      </c>
      <c r="X106">
        <v>0.9</v>
      </c>
      <c r="Y106">
        <v>0</v>
      </c>
      <c r="Z106">
        <v>0</v>
      </c>
      <c r="AA106">
        <v>0</v>
      </c>
      <c r="AB106">
        <v>10.5</v>
      </c>
      <c r="AC106">
        <v>0</v>
      </c>
      <c r="AD106">
        <v>1</v>
      </c>
      <c r="AE106">
        <v>1</v>
      </c>
      <c r="AF106" t="s">
        <v>267</v>
      </c>
      <c r="AG106">
        <v>0.27</v>
      </c>
      <c r="AH106">
        <v>2</v>
      </c>
      <c r="AI106">
        <v>39617561</v>
      </c>
      <c r="AJ106">
        <v>111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ROW(Source!A106)</f>
        <v>106</v>
      </c>
      <c r="B107">
        <v>39617562</v>
      </c>
      <c r="C107">
        <v>39617560</v>
      </c>
      <c r="D107">
        <v>37064876</v>
      </c>
      <c r="E107">
        <v>1</v>
      </c>
      <c r="F107">
        <v>1</v>
      </c>
      <c r="G107">
        <v>1</v>
      </c>
      <c r="H107">
        <v>1</v>
      </c>
      <c r="I107" t="s">
        <v>460</v>
      </c>
      <c r="J107" t="s">
        <v>3</v>
      </c>
      <c r="K107" t="s">
        <v>461</v>
      </c>
      <c r="L107">
        <v>1191</v>
      </c>
      <c r="N107">
        <v>1013</v>
      </c>
      <c r="O107" t="s">
        <v>459</v>
      </c>
      <c r="P107" t="s">
        <v>459</v>
      </c>
      <c r="Q107">
        <v>1</v>
      </c>
      <c r="X107">
        <v>0.2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2</v>
      </c>
      <c r="AF107" t="s">
        <v>267</v>
      </c>
      <c r="AG107">
        <v>0.06</v>
      </c>
      <c r="AH107">
        <v>2</v>
      </c>
      <c r="AI107">
        <v>39617562</v>
      </c>
      <c r="AJ107">
        <v>112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ROW(Source!A106)</f>
        <v>106</v>
      </c>
      <c r="B108">
        <v>39617563</v>
      </c>
      <c r="C108">
        <v>39617560</v>
      </c>
      <c r="D108">
        <v>36882159</v>
      </c>
      <c r="E108">
        <v>1</v>
      </c>
      <c r="F108">
        <v>1</v>
      </c>
      <c r="G108">
        <v>1</v>
      </c>
      <c r="H108">
        <v>2</v>
      </c>
      <c r="I108" t="s">
        <v>566</v>
      </c>
      <c r="J108" t="s">
        <v>567</v>
      </c>
      <c r="K108" t="s">
        <v>568</v>
      </c>
      <c r="L108">
        <v>1368</v>
      </c>
      <c r="N108">
        <v>1011</v>
      </c>
      <c r="O108" t="s">
        <v>465</v>
      </c>
      <c r="P108" t="s">
        <v>465</v>
      </c>
      <c r="Q108">
        <v>1</v>
      </c>
      <c r="X108">
        <v>0.1</v>
      </c>
      <c r="Y108">
        <v>0</v>
      </c>
      <c r="Z108">
        <v>111.99</v>
      </c>
      <c r="AA108">
        <v>13.5</v>
      </c>
      <c r="AB108">
        <v>0</v>
      </c>
      <c r="AC108">
        <v>0</v>
      </c>
      <c r="AD108">
        <v>1</v>
      </c>
      <c r="AE108">
        <v>0</v>
      </c>
      <c r="AF108" t="s">
        <v>267</v>
      </c>
      <c r="AG108">
        <v>0.03</v>
      </c>
      <c r="AH108">
        <v>2</v>
      </c>
      <c r="AI108">
        <v>39617563</v>
      </c>
      <c r="AJ108">
        <v>113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ROW(Source!A106)</f>
        <v>106</v>
      </c>
      <c r="B109">
        <v>39617564</v>
      </c>
      <c r="C109">
        <v>39617560</v>
      </c>
      <c r="D109">
        <v>36883554</v>
      </c>
      <c r="E109">
        <v>1</v>
      </c>
      <c r="F109">
        <v>1</v>
      </c>
      <c r="G109">
        <v>1</v>
      </c>
      <c r="H109">
        <v>2</v>
      </c>
      <c r="I109" t="s">
        <v>468</v>
      </c>
      <c r="J109" t="s">
        <v>469</v>
      </c>
      <c r="K109" t="s">
        <v>470</v>
      </c>
      <c r="L109">
        <v>1368</v>
      </c>
      <c r="N109">
        <v>1011</v>
      </c>
      <c r="O109" t="s">
        <v>465</v>
      </c>
      <c r="P109" t="s">
        <v>465</v>
      </c>
      <c r="Q109">
        <v>1</v>
      </c>
      <c r="X109">
        <v>0.1</v>
      </c>
      <c r="Y109">
        <v>0</v>
      </c>
      <c r="Z109">
        <v>65.709999999999994</v>
      </c>
      <c r="AA109">
        <v>11.6</v>
      </c>
      <c r="AB109">
        <v>0</v>
      </c>
      <c r="AC109">
        <v>0</v>
      </c>
      <c r="AD109">
        <v>1</v>
      </c>
      <c r="AE109">
        <v>0</v>
      </c>
      <c r="AF109" t="s">
        <v>267</v>
      </c>
      <c r="AG109">
        <v>0.03</v>
      </c>
      <c r="AH109">
        <v>2</v>
      </c>
      <c r="AI109">
        <v>39617564</v>
      </c>
      <c r="AJ109">
        <v>114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ROW(Source!A106)</f>
        <v>106</v>
      </c>
      <c r="B110">
        <v>39617565</v>
      </c>
      <c r="C110">
        <v>39617560</v>
      </c>
      <c r="D110">
        <v>36802094</v>
      </c>
      <c r="E110">
        <v>1</v>
      </c>
      <c r="F110">
        <v>1</v>
      </c>
      <c r="G110">
        <v>1</v>
      </c>
      <c r="H110">
        <v>3</v>
      </c>
      <c r="I110" t="s">
        <v>569</v>
      </c>
      <c r="J110" t="s">
        <v>570</v>
      </c>
      <c r="K110" t="s">
        <v>571</v>
      </c>
      <c r="L110">
        <v>1346</v>
      </c>
      <c r="N110">
        <v>1009</v>
      </c>
      <c r="O110" t="s">
        <v>77</v>
      </c>
      <c r="P110" t="s">
        <v>77</v>
      </c>
      <c r="Q110">
        <v>1</v>
      </c>
      <c r="X110">
        <v>0.01</v>
      </c>
      <c r="Y110">
        <v>30.4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266</v>
      </c>
      <c r="AG110">
        <v>0</v>
      </c>
      <c r="AH110">
        <v>2</v>
      </c>
      <c r="AI110">
        <v>39617565</v>
      </c>
      <c r="AJ110">
        <v>115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ROW(Source!A106)</f>
        <v>106</v>
      </c>
      <c r="B111">
        <v>39617566</v>
      </c>
      <c r="C111">
        <v>39617560</v>
      </c>
      <c r="D111">
        <v>36804448</v>
      </c>
      <c r="E111">
        <v>1</v>
      </c>
      <c r="F111">
        <v>1</v>
      </c>
      <c r="G111">
        <v>1</v>
      </c>
      <c r="H111">
        <v>3</v>
      </c>
      <c r="I111" t="s">
        <v>572</v>
      </c>
      <c r="J111" t="s">
        <v>573</v>
      </c>
      <c r="K111" t="s">
        <v>574</v>
      </c>
      <c r="L111">
        <v>1346</v>
      </c>
      <c r="N111">
        <v>1009</v>
      </c>
      <c r="O111" t="s">
        <v>77</v>
      </c>
      <c r="P111" t="s">
        <v>77</v>
      </c>
      <c r="Q111">
        <v>1</v>
      </c>
      <c r="X111">
        <v>0.3</v>
      </c>
      <c r="Y111">
        <v>9.0399999999999991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266</v>
      </c>
      <c r="AG111">
        <v>0</v>
      </c>
      <c r="AH111">
        <v>2</v>
      </c>
      <c r="AI111">
        <v>39617566</v>
      </c>
      <c r="AJ111">
        <v>116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ROW(Source!A106)</f>
        <v>106</v>
      </c>
      <c r="B112">
        <v>39617567</v>
      </c>
      <c r="C112">
        <v>39617560</v>
      </c>
      <c r="D112">
        <v>36825981</v>
      </c>
      <c r="E112">
        <v>1</v>
      </c>
      <c r="F112">
        <v>1</v>
      </c>
      <c r="G112">
        <v>1</v>
      </c>
      <c r="H112">
        <v>3</v>
      </c>
      <c r="I112" t="s">
        <v>575</v>
      </c>
      <c r="J112" t="s">
        <v>576</v>
      </c>
      <c r="K112" t="s">
        <v>577</v>
      </c>
      <c r="L112">
        <v>1348</v>
      </c>
      <c r="N112">
        <v>1009</v>
      </c>
      <c r="O112" t="s">
        <v>72</v>
      </c>
      <c r="P112" t="s">
        <v>72</v>
      </c>
      <c r="Q112">
        <v>1000</v>
      </c>
      <c r="X112">
        <v>5.9999999999999995E-4</v>
      </c>
      <c r="Y112">
        <v>5000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266</v>
      </c>
      <c r="AG112">
        <v>0</v>
      </c>
      <c r="AH112">
        <v>2</v>
      </c>
      <c r="AI112">
        <v>39617567</v>
      </c>
      <c r="AJ112">
        <v>117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ROW(Source!A106)</f>
        <v>106</v>
      </c>
      <c r="B113">
        <v>39617568</v>
      </c>
      <c r="C113">
        <v>39617560</v>
      </c>
      <c r="D113">
        <v>36799065</v>
      </c>
      <c r="E113">
        <v>17</v>
      </c>
      <c r="F113">
        <v>1</v>
      </c>
      <c r="G113">
        <v>1</v>
      </c>
      <c r="H113">
        <v>3</v>
      </c>
      <c r="I113" t="s">
        <v>578</v>
      </c>
      <c r="J113" t="s">
        <v>3</v>
      </c>
      <c r="K113" t="s">
        <v>579</v>
      </c>
      <c r="L113">
        <v>1374</v>
      </c>
      <c r="N113">
        <v>1013</v>
      </c>
      <c r="O113" t="s">
        <v>580</v>
      </c>
      <c r="P113" t="s">
        <v>580</v>
      </c>
      <c r="Q113">
        <v>1</v>
      </c>
      <c r="X113">
        <v>0.19</v>
      </c>
      <c r="Y113">
        <v>1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266</v>
      </c>
      <c r="AG113">
        <v>0</v>
      </c>
      <c r="AH113">
        <v>2</v>
      </c>
      <c r="AI113">
        <v>39617568</v>
      </c>
      <c r="AJ113">
        <v>118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ROW(Source!A107)</f>
        <v>107</v>
      </c>
      <c r="B114">
        <v>39617570</v>
      </c>
      <c r="C114">
        <v>39617569</v>
      </c>
      <c r="D114">
        <v>37064998</v>
      </c>
      <c r="E114">
        <v>1</v>
      </c>
      <c r="F114">
        <v>1</v>
      </c>
      <c r="G114">
        <v>1</v>
      </c>
      <c r="H114">
        <v>1</v>
      </c>
      <c r="I114" t="s">
        <v>457</v>
      </c>
      <c r="J114" t="s">
        <v>3</v>
      </c>
      <c r="K114" t="s">
        <v>458</v>
      </c>
      <c r="L114">
        <v>1191</v>
      </c>
      <c r="N114">
        <v>1013</v>
      </c>
      <c r="O114" t="s">
        <v>459</v>
      </c>
      <c r="P114" t="s">
        <v>459</v>
      </c>
      <c r="Q114">
        <v>1</v>
      </c>
      <c r="X114">
        <v>5.84</v>
      </c>
      <c r="Y114">
        <v>0</v>
      </c>
      <c r="Z114">
        <v>0</v>
      </c>
      <c r="AA114">
        <v>0</v>
      </c>
      <c r="AB114">
        <v>7.8</v>
      </c>
      <c r="AC114">
        <v>0</v>
      </c>
      <c r="AD114">
        <v>1</v>
      </c>
      <c r="AE114">
        <v>1</v>
      </c>
      <c r="AF114" t="s">
        <v>3</v>
      </c>
      <c r="AG114">
        <v>5.84</v>
      </c>
      <c r="AH114">
        <v>2</v>
      </c>
      <c r="AI114">
        <v>39617570</v>
      </c>
      <c r="AJ114">
        <v>119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ROW(Source!A108)</f>
        <v>108</v>
      </c>
      <c r="B115">
        <v>39617573</v>
      </c>
      <c r="C115">
        <v>39617572</v>
      </c>
      <c r="D115">
        <v>37080781</v>
      </c>
      <c r="E115">
        <v>1</v>
      </c>
      <c r="F115">
        <v>1</v>
      </c>
      <c r="G115">
        <v>1</v>
      </c>
      <c r="H115">
        <v>1</v>
      </c>
      <c r="I115" t="s">
        <v>581</v>
      </c>
      <c r="J115" t="s">
        <v>3</v>
      </c>
      <c r="K115" t="s">
        <v>582</v>
      </c>
      <c r="L115">
        <v>1191</v>
      </c>
      <c r="N115">
        <v>1013</v>
      </c>
      <c r="O115" t="s">
        <v>459</v>
      </c>
      <c r="P115" t="s">
        <v>459</v>
      </c>
      <c r="Q115">
        <v>1</v>
      </c>
      <c r="X115">
        <v>94.4</v>
      </c>
      <c r="Y115">
        <v>0</v>
      </c>
      <c r="Z115">
        <v>0</v>
      </c>
      <c r="AA115">
        <v>0</v>
      </c>
      <c r="AB115">
        <v>9.92</v>
      </c>
      <c r="AC115">
        <v>0</v>
      </c>
      <c r="AD115">
        <v>1</v>
      </c>
      <c r="AE115">
        <v>1</v>
      </c>
      <c r="AF115" t="s">
        <v>3</v>
      </c>
      <c r="AG115">
        <v>94.4</v>
      </c>
      <c r="AH115">
        <v>2</v>
      </c>
      <c r="AI115">
        <v>39617573</v>
      </c>
      <c r="AJ115">
        <v>120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ROW(Source!A108)</f>
        <v>108</v>
      </c>
      <c r="B116">
        <v>39617574</v>
      </c>
      <c r="C116">
        <v>39617572</v>
      </c>
      <c r="D116">
        <v>37064876</v>
      </c>
      <c r="E116">
        <v>1</v>
      </c>
      <c r="F116">
        <v>1</v>
      </c>
      <c r="G116">
        <v>1</v>
      </c>
      <c r="H116">
        <v>1</v>
      </c>
      <c r="I116" t="s">
        <v>460</v>
      </c>
      <c r="J116" t="s">
        <v>3</v>
      </c>
      <c r="K116" t="s">
        <v>461</v>
      </c>
      <c r="L116">
        <v>1191</v>
      </c>
      <c r="N116">
        <v>1013</v>
      </c>
      <c r="O116" t="s">
        <v>459</v>
      </c>
      <c r="P116" t="s">
        <v>459</v>
      </c>
      <c r="Q116">
        <v>1</v>
      </c>
      <c r="X116">
        <v>0.4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2</v>
      </c>
      <c r="AF116" t="s">
        <v>3</v>
      </c>
      <c r="AG116">
        <v>0.4</v>
      </c>
      <c r="AH116">
        <v>2</v>
      </c>
      <c r="AI116">
        <v>39617574</v>
      </c>
      <c r="AJ116">
        <v>121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ROW(Source!A108)</f>
        <v>108</v>
      </c>
      <c r="B117">
        <v>39617575</v>
      </c>
      <c r="C117">
        <v>39617572</v>
      </c>
      <c r="D117">
        <v>36882159</v>
      </c>
      <c r="E117">
        <v>1</v>
      </c>
      <c r="F117">
        <v>1</v>
      </c>
      <c r="G117">
        <v>1</v>
      </c>
      <c r="H117">
        <v>2</v>
      </c>
      <c r="I117" t="s">
        <v>566</v>
      </c>
      <c r="J117" t="s">
        <v>567</v>
      </c>
      <c r="K117" t="s">
        <v>568</v>
      </c>
      <c r="L117">
        <v>1368</v>
      </c>
      <c r="N117">
        <v>1011</v>
      </c>
      <c r="O117" t="s">
        <v>465</v>
      </c>
      <c r="P117" t="s">
        <v>465</v>
      </c>
      <c r="Q117">
        <v>1</v>
      </c>
      <c r="X117">
        <v>0.2</v>
      </c>
      <c r="Y117">
        <v>0</v>
      </c>
      <c r="Z117">
        <v>111.99</v>
      </c>
      <c r="AA117">
        <v>13.5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0.2</v>
      </c>
      <c r="AH117">
        <v>2</v>
      </c>
      <c r="AI117">
        <v>39617575</v>
      </c>
      <c r="AJ117">
        <v>122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ROW(Source!A108)</f>
        <v>108</v>
      </c>
      <c r="B118">
        <v>39617576</v>
      </c>
      <c r="C118">
        <v>39617572</v>
      </c>
      <c r="D118">
        <v>36883554</v>
      </c>
      <c r="E118">
        <v>1</v>
      </c>
      <c r="F118">
        <v>1</v>
      </c>
      <c r="G118">
        <v>1</v>
      </c>
      <c r="H118">
        <v>2</v>
      </c>
      <c r="I118" t="s">
        <v>468</v>
      </c>
      <c r="J118" t="s">
        <v>469</v>
      </c>
      <c r="K118" t="s">
        <v>470</v>
      </c>
      <c r="L118">
        <v>1368</v>
      </c>
      <c r="N118">
        <v>1011</v>
      </c>
      <c r="O118" t="s">
        <v>465</v>
      </c>
      <c r="P118" t="s">
        <v>465</v>
      </c>
      <c r="Q118">
        <v>1</v>
      </c>
      <c r="X118">
        <v>0.2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0.2</v>
      </c>
      <c r="AH118">
        <v>2</v>
      </c>
      <c r="AI118">
        <v>39617576</v>
      </c>
      <c r="AJ118">
        <v>123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ROW(Source!A108)</f>
        <v>108</v>
      </c>
      <c r="B119">
        <v>39617577</v>
      </c>
      <c r="C119">
        <v>39617572</v>
      </c>
      <c r="D119">
        <v>36855778</v>
      </c>
      <c r="E119">
        <v>1</v>
      </c>
      <c r="F119">
        <v>1</v>
      </c>
      <c r="G119">
        <v>1</v>
      </c>
      <c r="H119">
        <v>3</v>
      </c>
      <c r="I119" t="s">
        <v>583</v>
      </c>
      <c r="J119" t="s">
        <v>584</v>
      </c>
      <c r="K119" t="s">
        <v>585</v>
      </c>
      <c r="L119">
        <v>1355</v>
      </c>
      <c r="N119">
        <v>1010</v>
      </c>
      <c r="O119" t="s">
        <v>90</v>
      </c>
      <c r="P119" t="s">
        <v>90</v>
      </c>
      <c r="Q119">
        <v>100</v>
      </c>
      <c r="X119">
        <v>1.02</v>
      </c>
      <c r="Y119">
        <v>100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1.02</v>
      </c>
      <c r="AH119">
        <v>2</v>
      </c>
      <c r="AI119">
        <v>39617577</v>
      </c>
      <c r="AJ119">
        <v>125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ROW(Source!A108)</f>
        <v>108</v>
      </c>
      <c r="B120">
        <v>39617578</v>
      </c>
      <c r="C120">
        <v>39617572</v>
      </c>
      <c r="D120">
        <v>36799065</v>
      </c>
      <c r="E120">
        <v>17</v>
      </c>
      <c r="F120">
        <v>1</v>
      </c>
      <c r="G120">
        <v>1</v>
      </c>
      <c r="H120">
        <v>3</v>
      </c>
      <c r="I120" t="s">
        <v>578</v>
      </c>
      <c r="J120" t="s">
        <v>3</v>
      </c>
      <c r="K120" t="s">
        <v>579</v>
      </c>
      <c r="L120">
        <v>1374</v>
      </c>
      <c r="N120">
        <v>1013</v>
      </c>
      <c r="O120" t="s">
        <v>580</v>
      </c>
      <c r="P120" t="s">
        <v>580</v>
      </c>
      <c r="Q120">
        <v>1</v>
      </c>
      <c r="X120">
        <v>18.73</v>
      </c>
      <c r="Y120">
        <v>1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18.73</v>
      </c>
      <c r="AH120">
        <v>2</v>
      </c>
      <c r="AI120">
        <v>39617578</v>
      </c>
      <c r="AJ120">
        <v>126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ROW(Source!A110)</f>
        <v>110</v>
      </c>
      <c r="B121">
        <v>39617580</v>
      </c>
      <c r="C121">
        <v>39617579</v>
      </c>
      <c r="D121">
        <v>37072767</v>
      </c>
      <c r="E121">
        <v>1</v>
      </c>
      <c r="F121">
        <v>1</v>
      </c>
      <c r="G121">
        <v>1</v>
      </c>
      <c r="H121">
        <v>1</v>
      </c>
      <c r="I121" t="s">
        <v>493</v>
      </c>
      <c r="J121" t="s">
        <v>3</v>
      </c>
      <c r="K121" t="s">
        <v>494</v>
      </c>
      <c r="L121">
        <v>1191</v>
      </c>
      <c r="N121">
        <v>1013</v>
      </c>
      <c r="O121" t="s">
        <v>459</v>
      </c>
      <c r="P121" t="s">
        <v>459</v>
      </c>
      <c r="Q121">
        <v>1</v>
      </c>
      <c r="X121">
        <v>15.2</v>
      </c>
      <c r="Y121">
        <v>0</v>
      </c>
      <c r="Z121">
        <v>0</v>
      </c>
      <c r="AA121">
        <v>0</v>
      </c>
      <c r="AB121">
        <v>9.18</v>
      </c>
      <c r="AC121">
        <v>0</v>
      </c>
      <c r="AD121">
        <v>1</v>
      </c>
      <c r="AE121">
        <v>1</v>
      </c>
      <c r="AF121" t="s">
        <v>3</v>
      </c>
      <c r="AG121">
        <v>15.2</v>
      </c>
      <c r="AH121">
        <v>2</v>
      </c>
      <c r="AI121">
        <v>39617580</v>
      </c>
      <c r="AJ121">
        <v>127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ROW(Source!A110)</f>
        <v>110</v>
      </c>
      <c r="B122">
        <v>39617581</v>
      </c>
      <c r="C122">
        <v>39617579</v>
      </c>
      <c r="D122">
        <v>36804661</v>
      </c>
      <c r="E122">
        <v>1</v>
      </c>
      <c r="F122">
        <v>1</v>
      </c>
      <c r="G122">
        <v>1</v>
      </c>
      <c r="H122">
        <v>3</v>
      </c>
      <c r="I122" t="s">
        <v>586</v>
      </c>
      <c r="J122" t="s">
        <v>587</v>
      </c>
      <c r="K122" t="s">
        <v>588</v>
      </c>
      <c r="L122">
        <v>1355</v>
      </c>
      <c r="N122">
        <v>1010</v>
      </c>
      <c r="O122" t="s">
        <v>90</v>
      </c>
      <c r="P122" t="s">
        <v>90</v>
      </c>
      <c r="Q122">
        <v>100</v>
      </c>
      <c r="X122">
        <v>1.75</v>
      </c>
      <c r="Y122">
        <v>8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1.75</v>
      </c>
      <c r="AH122">
        <v>2</v>
      </c>
      <c r="AI122">
        <v>39617581</v>
      </c>
      <c r="AJ122">
        <v>128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ROW(Source!A110)</f>
        <v>110</v>
      </c>
      <c r="B123">
        <v>39617582</v>
      </c>
      <c r="C123">
        <v>39617579</v>
      </c>
      <c r="D123">
        <v>36799065</v>
      </c>
      <c r="E123">
        <v>17</v>
      </c>
      <c r="F123">
        <v>1</v>
      </c>
      <c r="G123">
        <v>1</v>
      </c>
      <c r="H123">
        <v>3</v>
      </c>
      <c r="I123" t="s">
        <v>578</v>
      </c>
      <c r="J123" t="s">
        <v>3</v>
      </c>
      <c r="K123" t="s">
        <v>579</v>
      </c>
      <c r="L123">
        <v>1374</v>
      </c>
      <c r="N123">
        <v>1013</v>
      </c>
      <c r="O123" t="s">
        <v>580</v>
      </c>
      <c r="P123" t="s">
        <v>580</v>
      </c>
      <c r="Q123">
        <v>1</v>
      </c>
      <c r="X123">
        <v>2.79</v>
      </c>
      <c r="Y123">
        <v>1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2.79</v>
      </c>
      <c r="AH123">
        <v>2</v>
      </c>
      <c r="AI123">
        <v>39617582</v>
      </c>
      <c r="AJ123">
        <v>130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ROW(Source!A112)</f>
        <v>112</v>
      </c>
      <c r="B124">
        <v>39617584</v>
      </c>
      <c r="C124">
        <v>39617583</v>
      </c>
      <c r="D124">
        <v>37064878</v>
      </c>
      <c r="E124">
        <v>1</v>
      </c>
      <c r="F124">
        <v>1</v>
      </c>
      <c r="G124">
        <v>1</v>
      </c>
      <c r="H124">
        <v>1</v>
      </c>
      <c r="I124" t="s">
        <v>466</v>
      </c>
      <c r="J124" t="s">
        <v>3</v>
      </c>
      <c r="K124" t="s">
        <v>467</v>
      </c>
      <c r="L124">
        <v>1191</v>
      </c>
      <c r="N124">
        <v>1013</v>
      </c>
      <c r="O124" t="s">
        <v>459</v>
      </c>
      <c r="P124" t="s">
        <v>459</v>
      </c>
      <c r="Q124">
        <v>1</v>
      </c>
      <c r="X124">
        <v>5.39</v>
      </c>
      <c r="Y124">
        <v>0</v>
      </c>
      <c r="Z124">
        <v>0</v>
      </c>
      <c r="AA124">
        <v>0</v>
      </c>
      <c r="AB124">
        <v>9.4</v>
      </c>
      <c r="AC124">
        <v>0</v>
      </c>
      <c r="AD124">
        <v>1</v>
      </c>
      <c r="AE124">
        <v>1</v>
      </c>
      <c r="AF124" t="s">
        <v>3</v>
      </c>
      <c r="AG124">
        <v>5.39</v>
      </c>
      <c r="AH124">
        <v>2</v>
      </c>
      <c r="AI124">
        <v>39617584</v>
      </c>
      <c r="AJ124">
        <v>131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ROW(Source!A112)</f>
        <v>112</v>
      </c>
      <c r="B125">
        <v>39617585</v>
      </c>
      <c r="C125">
        <v>39617583</v>
      </c>
      <c r="D125">
        <v>37064876</v>
      </c>
      <c r="E125">
        <v>1</v>
      </c>
      <c r="F125">
        <v>1</v>
      </c>
      <c r="G125">
        <v>1</v>
      </c>
      <c r="H125">
        <v>1</v>
      </c>
      <c r="I125" t="s">
        <v>460</v>
      </c>
      <c r="J125" t="s">
        <v>3</v>
      </c>
      <c r="K125" t="s">
        <v>461</v>
      </c>
      <c r="L125">
        <v>1191</v>
      </c>
      <c r="N125">
        <v>1013</v>
      </c>
      <c r="O125" t="s">
        <v>459</v>
      </c>
      <c r="P125" t="s">
        <v>459</v>
      </c>
      <c r="Q125">
        <v>1</v>
      </c>
      <c r="X125">
        <v>0.04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2</v>
      </c>
      <c r="AF125" t="s">
        <v>3</v>
      </c>
      <c r="AG125">
        <v>0.04</v>
      </c>
      <c r="AH125">
        <v>2</v>
      </c>
      <c r="AI125">
        <v>39617585</v>
      </c>
      <c r="AJ125">
        <v>132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ROW(Source!A112)</f>
        <v>112</v>
      </c>
      <c r="B126">
        <v>39617586</v>
      </c>
      <c r="C126">
        <v>39617583</v>
      </c>
      <c r="D126">
        <v>36882159</v>
      </c>
      <c r="E126">
        <v>1</v>
      </c>
      <c r="F126">
        <v>1</v>
      </c>
      <c r="G126">
        <v>1</v>
      </c>
      <c r="H126">
        <v>2</v>
      </c>
      <c r="I126" t="s">
        <v>566</v>
      </c>
      <c r="J126" t="s">
        <v>567</v>
      </c>
      <c r="K126" t="s">
        <v>568</v>
      </c>
      <c r="L126">
        <v>1368</v>
      </c>
      <c r="N126">
        <v>1011</v>
      </c>
      <c r="O126" t="s">
        <v>465</v>
      </c>
      <c r="P126" t="s">
        <v>465</v>
      </c>
      <c r="Q126">
        <v>1</v>
      </c>
      <c r="X126">
        <v>0.02</v>
      </c>
      <c r="Y126">
        <v>0</v>
      </c>
      <c r="Z126">
        <v>111.99</v>
      </c>
      <c r="AA126">
        <v>13.5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0.02</v>
      </c>
      <c r="AH126">
        <v>2</v>
      </c>
      <c r="AI126">
        <v>39617586</v>
      </c>
      <c r="AJ126">
        <v>133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ROW(Source!A112)</f>
        <v>112</v>
      </c>
      <c r="B127">
        <v>39617587</v>
      </c>
      <c r="C127">
        <v>39617583</v>
      </c>
      <c r="D127">
        <v>36883554</v>
      </c>
      <c r="E127">
        <v>1</v>
      </c>
      <c r="F127">
        <v>1</v>
      </c>
      <c r="G127">
        <v>1</v>
      </c>
      <c r="H127">
        <v>2</v>
      </c>
      <c r="I127" t="s">
        <v>468</v>
      </c>
      <c r="J127" t="s">
        <v>469</v>
      </c>
      <c r="K127" t="s">
        <v>470</v>
      </c>
      <c r="L127">
        <v>1368</v>
      </c>
      <c r="N127">
        <v>1011</v>
      </c>
      <c r="O127" t="s">
        <v>465</v>
      </c>
      <c r="P127" t="s">
        <v>465</v>
      </c>
      <c r="Q127">
        <v>1</v>
      </c>
      <c r="X127">
        <v>0.02</v>
      </c>
      <c r="Y127">
        <v>0</v>
      </c>
      <c r="Z127">
        <v>65.709999999999994</v>
      </c>
      <c r="AA127">
        <v>11.6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0.02</v>
      </c>
      <c r="AH127">
        <v>2</v>
      </c>
      <c r="AI127">
        <v>39617587</v>
      </c>
      <c r="AJ127">
        <v>134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ROW(Source!A112)</f>
        <v>112</v>
      </c>
      <c r="B128">
        <v>39617588</v>
      </c>
      <c r="C128">
        <v>39617583</v>
      </c>
      <c r="D128">
        <v>36802094</v>
      </c>
      <c r="E128">
        <v>1</v>
      </c>
      <c r="F128">
        <v>1</v>
      </c>
      <c r="G128">
        <v>1</v>
      </c>
      <c r="H128">
        <v>3</v>
      </c>
      <c r="I128" t="s">
        <v>569</v>
      </c>
      <c r="J128" t="s">
        <v>570</v>
      </c>
      <c r="K128" t="s">
        <v>571</v>
      </c>
      <c r="L128">
        <v>1346</v>
      </c>
      <c r="N128">
        <v>1009</v>
      </c>
      <c r="O128" t="s">
        <v>77</v>
      </c>
      <c r="P128" t="s">
        <v>77</v>
      </c>
      <c r="Q128">
        <v>1</v>
      </c>
      <c r="X128">
        <v>0.16</v>
      </c>
      <c r="Y128">
        <v>30.4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0.16</v>
      </c>
      <c r="AH128">
        <v>2</v>
      </c>
      <c r="AI128">
        <v>39617588</v>
      </c>
      <c r="AJ128">
        <v>135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ROW(Source!A112)</f>
        <v>112</v>
      </c>
      <c r="B129">
        <v>39617589</v>
      </c>
      <c r="C129">
        <v>39617583</v>
      </c>
      <c r="D129">
        <v>36802373</v>
      </c>
      <c r="E129">
        <v>1</v>
      </c>
      <c r="F129">
        <v>1</v>
      </c>
      <c r="G129">
        <v>1</v>
      </c>
      <c r="H129">
        <v>3</v>
      </c>
      <c r="I129" t="s">
        <v>589</v>
      </c>
      <c r="J129" t="s">
        <v>590</v>
      </c>
      <c r="K129" t="s">
        <v>591</v>
      </c>
      <c r="L129">
        <v>1348</v>
      </c>
      <c r="N129">
        <v>1009</v>
      </c>
      <c r="O129" t="s">
        <v>72</v>
      </c>
      <c r="P129" t="s">
        <v>72</v>
      </c>
      <c r="Q129">
        <v>1000</v>
      </c>
      <c r="X129">
        <v>5.9999999999999995E-4</v>
      </c>
      <c r="Y129">
        <v>1820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5.9999999999999995E-4</v>
      </c>
      <c r="AH129">
        <v>2</v>
      </c>
      <c r="AI129">
        <v>39617589</v>
      </c>
      <c r="AJ129">
        <v>136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ROW(Source!A112)</f>
        <v>112</v>
      </c>
      <c r="B130">
        <v>39617590</v>
      </c>
      <c r="C130">
        <v>39617583</v>
      </c>
      <c r="D130">
        <v>36838317</v>
      </c>
      <c r="E130">
        <v>1</v>
      </c>
      <c r="F130">
        <v>1</v>
      </c>
      <c r="G130">
        <v>1</v>
      </c>
      <c r="H130">
        <v>3</v>
      </c>
      <c r="I130" t="s">
        <v>592</v>
      </c>
      <c r="J130" t="s">
        <v>593</v>
      </c>
      <c r="K130" t="s">
        <v>191</v>
      </c>
      <c r="L130">
        <v>1346</v>
      </c>
      <c r="N130">
        <v>1009</v>
      </c>
      <c r="O130" t="s">
        <v>77</v>
      </c>
      <c r="P130" t="s">
        <v>77</v>
      </c>
      <c r="Q130">
        <v>1</v>
      </c>
      <c r="X130">
        <v>0.02</v>
      </c>
      <c r="Y130">
        <v>28.6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0.02</v>
      </c>
      <c r="AH130">
        <v>2</v>
      </c>
      <c r="AI130">
        <v>39617590</v>
      </c>
      <c r="AJ130">
        <v>137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ROW(Source!A112)</f>
        <v>112</v>
      </c>
      <c r="B131">
        <v>39617591</v>
      </c>
      <c r="C131">
        <v>39617583</v>
      </c>
      <c r="D131">
        <v>36852009</v>
      </c>
      <c r="E131">
        <v>1</v>
      </c>
      <c r="F131">
        <v>1</v>
      </c>
      <c r="G131">
        <v>1</v>
      </c>
      <c r="H131">
        <v>3</v>
      </c>
      <c r="I131" t="s">
        <v>594</v>
      </c>
      <c r="J131" t="s">
        <v>595</v>
      </c>
      <c r="K131" t="s">
        <v>596</v>
      </c>
      <c r="L131">
        <v>1355</v>
      </c>
      <c r="N131">
        <v>1010</v>
      </c>
      <c r="O131" t="s">
        <v>90</v>
      </c>
      <c r="P131" t="s">
        <v>90</v>
      </c>
      <c r="Q131">
        <v>100</v>
      </c>
      <c r="X131">
        <v>0.05</v>
      </c>
      <c r="Y131">
        <v>110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0.05</v>
      </c>
      <c r="AH131">
        <v>2</v>
      </c>
      <c r="AI131">
        <v>39617591</v>
      </c>
      <c r="AJ131">
        <v>138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ROW(Source!A112)</f>
        <v>112</v>
      </c>
      <c r="B132">
        <v>39617592</v>
      </c>
      <c r="C132">
        <v>39617583</v>
      </c>
      <c r="D132">
        <v>36852060</v>
      </c>
      <c r="E132">
        <v>1</v>
      </c>
      <c r="F132">
        <v>1</v>
      </c>
      <c r="G132">
        <v>1</v>
      </c>
      <c r="H132">
        <v>3</v>
      </c>
      <c r="I132" t="s">
        <v>597</v>
      </c>
      <c r="J132" t="s">
        <v>598</v>
      </c>
      <c r="K132" t="s">
        <v>599</v>
      </c>
      <c r="L132">
        <v>1356</v>
      </c>
      <c r="N132">
        <v>1010</v>
      </c>
      <c r="O132" t="s">
        <v>501</v>
      </c>
      <c r="P132" t="s">
        <v>501</v>
      </c>
      <c r="Q132">
        <v>1000</v>
      </c>
      <c r="X132">
        <v>1.2200000000000001E-2</v>
      </c>
      <c r="Y132">
        <v>119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1.2200000000000001E-2</v>
      </c>
      <c r="AH132">
        <v>2</v>
      </c>
      <c r="AI132">
        <v>39617592</v>
      </c>
      <c r="AJ132">
        <v>139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ROW(Source!A112)</f>
        <v>112</v>
      </c>
      <c r="B133">
        <v>39617593</v>
      </c>
      <c r="C133">
        <v>39617583</v>
      </c>
      <c r="D133">
        <v>36799065</v>
      </c>
      <c r="E133">
        <v>17</v>
      </c>
      <c r="F133">
        <v>1</v>
      </c>
      <c r="G133">
        <v>1</v>
      </c>
      <c r="H133">
        <v>3</v>
      </c>
      <c r="I133" t="s">
        <v>578</v>
      </c>
      <c r="J133" t="s">
        <v>3</v>
      </c>
      <c r="K133" t="s">
        <v>579</v>
      </c>
      <c r="L133">
        <v>1374</v>
      </c>
      <c r="N133">
        <v>1013</v>
      </c>
      <c r="O133" t="s">
        <v>580</v>
      </c>
      <c r="P133" t="s">
        <v>580</v>
      </c>
      <c r="Q133">
        <v>1</v>
      </c>
      <c r="X133">
        <v>1.01</v>
      </c>
      <c r="Y133">
        <v>1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1.01</v>
      </c>
      <c r="AH133">
        <v>2</v>
      </c>
      <c r="AI133">
        <v>39617593</v>
      </c>
      <c r="AJ133">
        <v>141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ROW(Source!A114)</f>
        <v>114</v>
      </c>
      <c r="B134">
        <v>39617595</v>
      </c>
      <c r="C134">
        <v>39617594</v>
      </c>
      <c r="D134">
        <v>37070202</v>
      </c>
      <c r="E134">
        <v>1</v>
      </c>
      <c r="F134">
        <v>1</v>
      </c>
      <c r="G134">
        <v>1</v>
      </c>
      <c r="H134">
        <v>1</v>
      </c>
      <c r="I134" t="s">
        <v>600</v>
      </c>
      <c r="J134" t="s">
        <v>3</v>
      </c>
      <c r="K134" t="s">
        <v>601</v>
      </c>
      <c r="L134">
        <v>1191</v>
      </c>
      <c r="N134">
        <v>1013</v>
      </c>
      <c r="O134" t="s">
        <v>459</v>
      </c>
      <c r="P134" t="s">
        <v>459</v>
      </c>
      <c r="Q134">
        <v>1</v>
      </c>
      <c r="X134">
        <v>16.29</v>
      </c>
      <c r="Y134">
        <v>0</v>
      </c>
      <c r="Z134">
        <v>0</v>
      </c>
      <c r="AA134">
        <v>0</v>
      </c>
      <c r="AB134">
        <v>9.51</v>
      </c>
      <c r="AC134">
        <v>0</v>
      </c>
      <c r="AD134">
        <v>1</v>
      </c>
      <c r="AE134">
        <v>1</v>
      </c>
      <c r="AF134" t="s">
        <v>3</v>
      </c>
      <c r="AG134">
        <v>16.29</v>
      </c>
      <c r="AH134">
        <v>2</v>
      </c>
      <c r="AI134">
        <v>39617595</v>
      </c>
      <c r="AJ134">
        <v>142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ROW(Source!A114)</f>
        <v>114</v>
      </c>
      <c r="B135">
        <v>39617596</v>
      </c>
      <c r="C135">
        <v>39617594</v>
      </c>
      <c r="D135">
        <v>37064876</v>
      </c>
      <c r="E135">
        <v>1</v>
      </c>
      <c r="F135">
        <v>1</v>
      </c>
      <c r="G135">
        <v>1</v>
      </c>
      <c r="H135">
        <v>1</v>
      </c>
      <c r="I135" t="s">
        <v>460</v>
      </c>
      <c r="J135" t="s">
        <v>3</v>
      </c>
      <c r="K135" t="s">
        <v>461</v>
      </c>
      <c r="L135">
        <v>1191</v>
      </c>
      <c r="N135">
        <v>1013</v>
      </c>
      <c r="O135" t="s">
        <v>459</v>
      </c>
      <c r="P135" t="s">
        <v>459</v>
      </c>
      <c r="Q135">
        <v>1</v>
      </c>
      <c r="X135">
        <v>0.01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2</v>
      </c>
      <c r="AF135" t="s">
        <v>3</v>
      </c>
      <c r="AG135">
        <v>0.01</v>
      </c>
      <c r="AH135">
        <v>2</v>
      </c>
      <c r="AI135">
        <v>39617596</v>
      </c>
      <c r="AJ135">
        <v>143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ROW(Source!A114)</f>
        <v>114</v>
      </c>
      <c r="B136">
        <v>39617597</v>
      </c>
      <c r="C136">
        <v>39617594</v>
      </c>
      <c r="D136">
        <v>36882452</v>
      </c>
      <c r="E136">
        <v>1</v>
      </c>
      <c r="F136">
        <v>1</v>
      </c>
      <c r="G136">
        <v>1</v>
      </c>
      <c r="H136">
        <v>2</v>
      </c>
      <c r="I136" t="s">
        <v>462</v>
      </c>
      <c r="J136" t="s">
        <v>463</v>
      </c>
      <c r="K136" t="s">
        <v>464</v>
      </c>
      <c r="L136">
        <v>1368</v>
      </c>
      <c r="N136">
        <v>1011</v>
      </c>
      <c r="O136" t="s">
        <v>465</v>
      </c>
      <c r="P136" t="s">
        <v>465</v>
      </c>
      <c r="Q136">
        <v>1</v>
      </c>
      <c r="X136">
        <v>0.01</v>
      </c>
      <c r="Y136">
        <v>0</v>
      </c>
      <c r="Z136">
        <v>31.26</v>
      </c>
      <c r="AA136">
        <v>13.5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0.01</v>
      </c>
      <c r="AH136">
        <v>2</v>
      </c>
      <c r="AI136">
        <v>39617597</v>
      </c>
      <c r="AJ136">
        <v>144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ROW(Source!A114)</f>
        <v>114</v>
      </c>
      <c r="B137">
        <v>39617598</v>
      </c>
      <c r="C137">
        <v>39617594</v>
      </c>
      <c r="D137">
        <v>36804582</v>
      </c>
      <c r="E137">
        <v>1</v>
      </c>
      <c r="F137">
        <v>1</v>
      </c>
      <c r="G137">
        <v>1</v>
      </c>
      <c r="H137">
        <v>3</v>
      </c>
      <c r="I137" t="s">
        <v>602</v>
      </c>
      <c r="J137" t="s">
        <v>603</v>
      </c>
      <c r="K137" t="s">
        <v>604</v>
      </c>
      <c r="L137">
        <v>1356</v>
      </c>
      <c r="N137">
        <v>1010</v>
      </c>
      <c r="O137" t="s">
        <v>501</v>
      </c>
      <c r="P137" t="s">
        <v>501</v>
      </c>
      <c r="Q137">
        <v>1000</v>
      </c>
      <c r="X137">
        <v>0.2</v>
      </c>
      <c r="Y137">
        <v>180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0.2</v>
      </c>
      <c r="AH137">
        <v>2</v>
      </c>
      <c r="AI137">
        <v>39617598</v>
      </c>
      <c r="AJ137">
        <v>145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ROW(Source!A114)</f>
        <v>114</v>
      </c>
      <c r="B138">
        <v>39617599</v>
      </c>
      <c r="C138">
        <v>39617594</v>
      </c>
      <c r="D138">
        <v>36804944</v>
      </c>
      <c r="E138">
        <v>1</v>
      </c>
      <c r="F138">
        <v>1</v>
      </c>
      <c r="G138">
        <v>1</v>
      </c>
      <c r="H138">
        <v>3</v>
      </c>
      <c r="I138" t="s">
        <v>605</v>
      </c>
      <c r="J138" t="s">
        <v>606</v>
      </c>
      <c r="K138" t="s">
        <v>607</v>
      </c>
      <c r="L138">
        <v>1348</v>
      </c>
      <c r="N138">
        <v>1009</v>
      </c>
      <c r="O138" t="s">
        <v>72</v>
      </c>
      <c r="P138" t="s">
        <v>72</v>
      </c>
      <c r="Q138">
        <v>1000</v>
      </c>
      <c r="X138">
        <v>1E-3</v>
      </c>
      <c r="Y138">
        <v>12430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1E-3</v>
      </c>
      <c r="AH138">
        <v>2</v>
      </c>
      <c r="AI138">
        <v>39617599</v>
      </c>
      <c r="AJ138">
        <v>146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ROW(Source!A114)</f>
        <v>114</v>
      </c>
      <c r="B139">
        <v>39617600</v>
      </c>
      <c r="C139">
        <v>39617594</v>
      </c>
      <c r="D139">
        <v>36799065</v>
      </c>
      <c r="E139">
        <v>17</v>
      </c>
      <c r="F139">
        <v>1</v>
      </c>
      <c r="G139">
        <v>1</v>
      </c>
      <c r="H139">
        <v>3</v>
      </c>
      <c r="I139" t="s">
        <v>578</v>
      </c>
      <c r="J139" t="s">
        <v>3</v>
      </c>
      <c r="K139" t="s">
        <v>579</v>
      </c>
      <c r="L139">
        <v>1374</v>
      </c>
      <c r="N139">
        <v>1013</v>
      </c>
      <c r="O139" t="s">
        <v>580</v>
      </c>
      <c r="P139" t="s">
        <v>580</v>
      </c>
      <c r="Q139">
        <v>1</v>
      </c>
      <c r="X139">
        <v>3.1</v>
      </c>
      <c r="Y139">
        <v>1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3.1</v>
      </c>
      <c r="AH139">
        <v>2</v>
      </c>
      <c r="AI139">
        <v>39617600</v>
      </c>
      <c r="AJ139">
        <v>148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ROW(Source!A116)</f>
        <v>116</v>
      </c>
      <c r="B140">
        <v>39617602</v>
      </c>
      <c r="C140">
        <v>39617601</v>
      </c>
      <c r="D140">
        <v>37064878</v>
      </c>
      <c r="E140">
        <v>1</v>
      </c>
      <c r="F140">
        <v>1</v>
      </c>
      <c r="G140">
        <v>1</v>
      </c>
      <c r="H140">
        <v>1</v>
      </c>
      <c r="I140" t="s">
        <v>466</v>
      </c>
      <c r="J140" t="s">
        <v>3</v>
      </c>
      <c r="K140" t="s">
        <v>467</v>
      </c>
      <c r="L140">
        <v>1191</v>
      </c>
      <c r="N140">
        <v>1013</v>
      </c>
      <c r="O140" t="s">
        <v>459</v>
      </c>
      <c r="P140" t="s">
        <v>459</v>
      </c>
      <c r="Q140">
        <v>1</v>
      </c>
      <c r="X140">
        <v>3.76</v>
      </c>
      <c r="Y140">
        <v>0</v>
      </c>
      <c r="Z140">
        <v>0</v>
      </c>
      <c r="AA140">
        <v>0</v>
      </c>
      <c r="AB140">
        <v>9.4</v>
      </c>
      <c r="AC140">
        <v>0</v>
      </c>
      <c r="AD140">
        <v>1</v>
      </c>
      <c r="AE140">
        <v>1</v>
      </c>
      <c r="AF140" t="s">
        <v>3</v>
      </c>
      <c r="AG140">
        <v>3.76</v>
      </c>
      <c r="AH140">
        <v>2</v>
      </c>
      <c r="AI140">
        <v>39617602</v>
      </c>
      <c r="AJ140">
        <v>149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ROW(Source!A116)</f>
        <v>116</v>
      </c>
      <c r="B141">
        <v>39617603</v>
      </c>
      <c r="C141">
        <v>39617601</v>
      </c>
      <c r="D141">
        <v>37064876</v>
      </c>
      <c r="E141">
        <v>1</v>
      </c>
      <c r="F141">
        <v>1</v>
      </c>
      <c r="G141">
        <v>1</v>
      </c>
      <c r="H141">
        <v>1</v>
      </c>
      <c r="I141" t="s">
        <v>460</v>
      </c>
      <c r="J141" t="s">
        <v>3</v>
      </c>
      <c r="K141" t="s">
        <v>461</v>
      </c>
      <c r="L141">
        <v>1191</v>
      </c>
      <c r="N141">
        <v>1013</v>
      </c>
      <c r="O141" t="s">
        <v>459</v>
      </c>
      <c r="P141" t="s">
        <v>459</v>
      </c>
      <c r="Q141">
        <v>1</v>
      </c>
      <c r="X141">
        <v>0.02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2</v>
      </c>
      <c r="AF141" t="s">
        <v>3</v>
      </c>
      <c r="AG141">
        <v>0.02</v>
      </c>
      <c r="AH141">
        <v>2</v>
      </c>
      <c r="AI141">
        <v>39617603</v>
      </c>
      <c r="AJ141">
        <v>150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ROW(Source!A116)</f>
        <v>116</v>
      </c>
      <c r="B142">
        <v>39617604</v>
      </c>
      <c r="C142">
        <v>39617601</v>
      </c>
      <c r="D142">
        <v>36882159</v>
      </c>
      <c r="E142">
        <v>1</v>
      </c>
      <c r="F142">
        <v>1</v>
      </c>
      <c r="G142">
        <v>1</v>
      </c>
      <c r="H142">
        <v>2</v>
      </c>
      <c r="I142" t="s">
        <v>566</v>
      </c>
      <c r="J142" t="s">
        <v>567</v>
      </c>
      <c r="K142" t="s">
        <v>568</v>
      </c>
      <c r="L142">
        <v>1368</v>
      </c>
      <c r="N142">
        <v>1011</v>
      </c>
      <c r="O142" t="s">
        <v>465</v>
      </c>
      <c r="P142" t="s">
        <v>465</v>
      </c>
      <c r="Q142">
        <v>1</v>
      </c>
      <c r="X142">
        <v>0.01</v>
      </c>
      <c r="Y142">
        <v>0</v>
      </c>
      <c r="Z142">
        <v>111.99</v>
      </c>
      <c r="AA142">
        <v>13.5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0.01</v>
      </c>
      <c r="AH142">
        <v>2</v>
      </c>
      <c r="AI142">
        <v>39617604</v>
      </c>
      <c r="AJ142">
        <v>151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ROW(Source!A116)</f>
        <v>116</v>
      </c>
      <c r="B143">
        <v>39617605</v>
      </c>
      <c r="C143">
        <v>39617601</v>
      </c>
      <c r="D143">
        <v>36883554</v>
      </c>
      <c r="E143">
        <v>1</v>
      </c>
      <c r="F143">
        <v>1</v>
      </c>
      <c r="G143">
        <v>1</v>
      </c>
      <c r="H143">
        <v>2</v>
      </c>
      <c r="I143" t="s">
        <v>468</v>
      </c>
      <c r="J143" t="s">
        <v>469</v>
      </c>
      <c r="K143" t="s">
        <v>470</v>
      </c>
      <c r="L143">
        <v>1368</v>
      </c>
      <c r="N143">
        <v>1011</v>
      </c>
      <c r="O143" t="s">
        <v>465</v>
      </c>
      <c r="P143" t="s">
        <v>465</v>
      </c>
      <c r="Q143">
        <v>1</v>
      </c>
      <c r="X143">
        <v>0.01</v>
      </c>
      <c r="Y143">
        <v>0</v>
      </c>
      <c r="Z143">
        <v>65.709999999999994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0.01</v>
      </c>
      <c r="AH143">
        <v>2</v>
      </c>
      <c r="AI143">
        <v>39617605</v>
      </c>
      <c r="AJ143">
        <v>152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ROW(Source!A116)</f>
        <v>116</v>
      </c>
      <c r="B144">
        <v>39617606</v>
      </c>
      <c r="C144">
        <v>39617601</v>
      </c>
      <c r="D144">
        <v>36802094</v>
      </c>
      <c r="E144">
        <v>1</v>
      </c>
      <c r="F144">
        <v>1</v>
      </c>
      <c r="G144">
        <v>1</v>
      </c>
      <c r="H144">
        <v>3</v>
      </c>
      <c r="I144" t="s">
        <v>569</v>
      </c>
      <c r="J144" t="s">
        <v>570</v>
      </c>
      <c r="K144" t="s">
        <v>571</v>
      </c>
      <c r="L144">
        <v>1346</v>
      </c>
      <c r="N144">
        <v>1009</v>
      </c>
      <c r="O144" t="s">
        <v>77</v>
      </c>
      <c r="P144" t="s">
        <v>77</v>
      </c>
      <c r="Q144">
        <v>1</v>
      </c>
      <c r="X144">
        <v>0.16</v>
      </c>
      <c r="Y144">
        <v>30.4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0.16</v>
      </c>
      <c r="AH144">
        <v>2</v>
      </c>
      <c r="AI144">
        <v>39617606</v>
      </c>
      <c r="AJ144">
        <v>153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ROW(Source!A116)</f>
        <v>116</v>
      </c>
      <c r="B145">
        <v>39617607</v>
      </c>
      <c r="C145">
        <v>39617601</v>
      </c>
      <c r="D145">
        <v>36802106</v>
      </c>
      <c r="E145">
        <v>1</v>
      </c>
      <c r="F145">
        <v>1</v>
      </c>
      <c r="G145">
        <v>1</v>
      </c>
      <c r="H145">
        <v>3</v>
      </c>
      <c r="I145" t="s">
        <v>608</v>
      </c>
      <c r="J145" t="s">
        <v>609</v>
      </c>
      <c r="K145" t="s">
        <v>610</v>
      </c>
      <c r="L145">
        <v>1308</v>
      </c>
      <c r="N145">
        <v>1003</v>
      </c>
      <c r="O145" t="s">
        <v>17</v>
      </c>
      <c r="P145" t="s">
        <v>17</v>
      </c>
      <c r="Q145">
        <v>100</v>
      </c>
      <c r="X145">
        <v>5.5E-2</v>
      </c>
      <c r="Y145">
        <v>120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5.5E-2</v>
      </c>
      <c r="AH145">
        <v>2</v>
      </c>
      <c r="AI145">
        <v>39617607</v>
      </c>
      <c r="AJ145">
        <v>154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ROW(Source!A116)</f>
        <v>116</v>
      </c>
      <c r="B146">
        <v>39617608</v>
      </c>
      <c r="C146">
        <v>39617601</v>
      </c>
      <c r="D146">
        <v>36838317</v>
      </c>
      <c r="E146">
        <v>1</v>
      </c>
      <c r="F146">
        <v>1</v>
      </c>
      <c r="G146">
        <v>1</v>
      </c>
      <c r="H146">
        <v>3</v>
      </c>
      <c r="I146" t="s">
        <v>592</v>
      </c>
      <c r="J146" t="s">
        <v>593</v>
      </c>
      <c r="K146" t="s">
        <v>191</v>
      </c>
      <c r="L146">
        <v>1346</v>
      </c>
      <c r="N146">
        <v>1009</v>
      </c>
      <c r="O146" t="s">
        <v>77</v>
      </c>
      <c r="P146" t="s">
        <v>77</v>
      </c>
      <c r="Q146">
        <v>1</v>
      </c>
      <c r="X146">
        <v>0.05</v>
      </c>
      <c r="Y146">
        <v>28.6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0.05</v>
      </c>
      <c r="AH146">
        <v>2</v>
      </c>
      <c r="AI146">
        <v>39617608</v>
      </c>
      <c r="AJ146">
        <v>155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ROW(Source!A116)</f>
        <v>116</v>
      </c>
      <c r="B147">
        <v>39617609</v>
      </c>
      <c r="C147">
        <v>39617601</v>
      </c>
      <c r="D147">
        <v>36799065</v>
      </c>
      <c r="E147">
        <v>17</v>
      </c>
      <c r="F147">
        <v>1</v>
      </c>
      <c r="G147">
        <v>1</v>
      </c>
      <c r="H147">
        <v>3</v>
      </c>
      <c r="I147" t="s">
        <v>578</v>
      </c>
      <c r="J147" t="s">
        <v>3</v>
      </c>
      <c r="K147" t="s">
        <v>579</v>
      </c>
      <c r="L147">
        <v>1374</v>
      </c>
      <c r="N147">
        <v>1013</v>
      </c>
      <c r="O147" t="s">
        <v>580</v>
      </c>
      <c r="P147" t="s">
        <v>580</v>
      </c>
      <c r="Q147">
        <v>1</v>
      </c>
      <c r="X147">
        <v>0.71</v>
      </c>
      <c r="Y147">
        <v>1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0.71</v>
      </c>
      <c r="AH147">
        <v>2</v>
      </c>
      <c r="AI147">
        <v>39617609</v>
      </c>
      <c r="AJ147">
        <v>157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ROW(Source!A118)</f>
        <v>118</v>
      </c>
      <c r="B148">
        <v>39617611</v>
      </c>
      <c r="C148">
        <v>39617610</v>
      </c>
      <c r="D148">
        <v>37080781</v>
      </c>
      <c r="E148">
        <v>1</v>
      </c>
      <c r="F148">
        <v>1</v>
      </c>
      <c r="G148">
        <v>1</v>
      </c>
      <c r="H148">
        <v>1</v>
      </c>
      <c r="I148" t="s">
        <v>581</v>
      </c>
      <c r="J148" t="s">
        <v>3</v>
      </c>
      <c r="K148" t="s">
        <v>582</v>
      </c>
      <c r="L148">
        <v>1191</v>
      </c>
      <c r="N148">
        <v>1013</v>
      </c>
      <c r="O148" t="s">
        <v>459</v>
      </c>
      <c r="P148" t="s">
        <v>459</v>
      </c>
      <c r="Q148">
        <v>1</v>
      </c>
      <c r="X148">
        <v>34.56</v>
      </c>
      <c r="Y148">
        <v>0</v>
      </c>
      <c r="Z148">
        <v>0</v>
      </c>
      <c r="AA148">
        <v>0</v>
      </c>
      <c r="AB148">
        <v>9.92</v>
      </c>
      <c r="AC148">
        <v>0</v>
      </c>
      <c r="AD148">
        <v>1</v>
      </c>
      <c r="AE148">
        <v>1</v>
      </c>
      <c r="AF148" t="s">
        <v>3</v>
      </c>
      <c r="AG148">
        <v>34.56</v>
      </c>
      <c r="AH148">
        <v>2</v>
      </c>
      <c r="AI148">
        <v>39617611</v>
      </c>
      <c r="AJ148">
        <v>158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ROW(Source!A118)</f>
        <v>118</v>
      </c>
      <c r="B149">
        <v>39617612</v>
      </c>
      <c r="C149">
        <v>39617610</v>
      </c>
      <c r="D149">
        <v>37064876</v>
      </c>
      <c r="E149">
        <v>1</v>
      </c>
      <c r="F149">
        <v>1</v>
      </c>
      <c r="G149">
        <v>1</v>
      </c>
      <c r="H149">
        <v>1</v>
      </c>
      <c r="I149" t="s">
        <v>460</v>
      </c>
      <c r="J149" t="s">
        <v>3</v>
      </c>
      <c r="K149" t="s">
        <v>461</v>
      </c>
      <c r="L149">
        <v>1191</v>
      </c>
      <c r="N149">
        <v>1013</v>
      </c>
      <c r="O149" t="s">
        <v>459</v>
      </c>
      <c r="P149" t="s">
        <v>459</v>
      </c>
      <c r="Q149">
        <v>1</v>
      </c>
      <c r="X149">
        <v>0.05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3</v>
      </c>
      <c r="AG149">
        <v>0.05</v>
      </c>
      <c r="AH149">
        <v>2</v>
      </c>
      <c r="AI149">
        <v>39617612</v>
      </c>
      <c r="AJ149">
        <v>159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ROW(Source!A118)</f>
        <v>118</v>
      </c>
      <c r="B150">
        <v>39617613</v>
      </c>
      <c r="C150">
        <v>39617610</v>
      </c>
      <c r="D150">
        <v>36882159</v>
      </c>
      <c r="E150">
        <v>1</v>
      </c>
      <c r="F150">
        <v>1</v>
      </c>
      <c r="G150">
        <v>1</v>
      </c>
      <c r="H150">
        <v>2</v>
      </c>
      <c r="I150" t="s">
        <v>566</v>
      </c>
      <c r="J150" t="s">
        <v>567</v>
      </c>
      <c r="K150" t="s">
        <v>568</v>
      </c>
      <c r="L150">
        <v>1368</v>
      </c>
      <c r="N150">
        <v>1011</v>
      </c>
      <c r="O150" t="s">
        <v>465</v>
      </c>
      <c r="P150" t="s">
        <v>465</v>
      </c>
      <c r="Q150">
        <v>1</v>
      </c>
      <c r="X150">
        <v>0.03</v>
      </c>
      <c r="Y150">
        <v>0</v>
      </c>
      <c r="Z150">
        <v>111.99</v>
      </c>
      <c r="AA150">
        <v>13.5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0.03</v>
      </c>
      <c r="AH150">
        <v>2</v>
      </c>
      <c r="AI150">
        <v>39617613</v>
      </c>
      <c r="AJ150">
        <v>160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ROW(Source!A118)</f>
        <v>118</v>
      </c>
      <c r="B151">
        <v>39617614</v>
      </c>
      <c r="C151">
        <v>39617610</v>
      </c>
      <c r="D151">
        <v>36883554</v>
      </c>
      <c r="E151">
        <v>1</v>
      </c>
      <c r="F151">
        <v>1</v>
      </c>
      <c r="G151">
        <v>1</v>
      </c>
      <c r="H151">
        <v>2</v>
      </c>
      <c r="I151" t="s">
        <v>468</v>
      </c>
      <c r="J151" t="s">
        <v>469</v>
      </c>
      <c r="K151" t="s">
        <v>470</v>
      </c>
      <c r="L151">
        <v>1368</v>
      </c>
      <c r="N151">
        <v>1011</v>
      </c>
      <c r="O151" t="s">
        <v>465</v>
      </c>
      <c r="P151" t="s">
        <v>465</v>
      </c>
      <c r="Q151">
        <v>1</v>
      </c>
      <c r="X151">
        <v>0.02</v>
      </c>
      <c r="Y151">
        <v>0</v>
      </c>
      <c r="Z151">
        <v>65.709999999999994</v>
      </c>
      <c r="AA151">
        <v>11.6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0.02</v>
      </c>
      <c r="AH151">
        <v>2</v>
      </c>
      <c r="AI151">
        <v>39617614</v>
      </c>
      <c r="AJ151">
        <v>161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ROW(Source!A118)</f>
        <v>118</v>
      </c>
      <c r="B152">
        <v>39617615</v>
      </c>
      <c r="C152">
        <v>39617610</v>
      </c>
      <c r="D152">
        <v>36802094</v>
      </c>
      <c r="E152">
        <v>1</v>
      </c>
      <c r="F152">
        <v>1</v>
      </c>
      <c r="G152">
        <v>1</v>
      </c>
      <c r="H152">
        <v>3</v>
      </c>
      <c r="I152" t="s">
        <v>569</v>
      </c>
      <c r="J152" t="s">
        <v>570</v>
      </c>
      <c r="K152" t="s">
        <v>571</v>
      </c>
      <c r="L152">
        <v>1346</v>
      </c>
      <c r="N152">
        <v>1009</v>
      </c>
      <c r="O152" t="s">
        <v>77</v>
      </c>
      <c r="P152" t="s">
        <v>77</v>
      </c>
      <c r="Q152">
        <v>1</v>
      </c>
      <c r="X152">
        <v>0.11</v>
      </c>
      <c r="Y152">
        <v>30.4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0.11</v>
      </c>
      <c r="AH152">
        <v>2</v>
      </c>
      <c r="AI152">
        <v>39617615</v>
      </c>
      <c r="AJ152">
        <v>162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ROW(Source!A118)</f>
        <v>118</v>
      </c>
      <c r="B153">
        <v>39617616</v>
      </c>
      <c r="C153">
        <v>39617610</v>
      </c>
      <c r="D153">
        <v>36804580</v>
      </c>
      <c r="E153">
        <v>1</v>
      </c>
      <c r="F153">
        <v>1</v>
      </c>
      <c r="G153">
        <v>1</v>
      </c>
      <c r="H153">
        <v>3</v>
      </c>
      <c r="I153" t="s">
        <v>611</v>
      </c>
      <c r="J153" t="s">
        <v>612</v>
      </c>
      <c r="K153" t="s">
        <v>613</v>
      </c>
      <c r="L153">
        <v>1355</v>
      </c>
      <c r="N153">
        <v>1010</v>
      </c>
      <c r="O153" t="s">
        <v>90</v>
      </c>
      <c r="P153" t="s">
        <v>90</v>
      </c>
      <c r="Q153">
        <v>100</v>
      </c>
      <c r="X153">
        <v>1.02</v>
      </c>
      <c r="Y153">
        <v>86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1.02</v>
      </c>
      <c r="AH153">
        <v>2</v>
      </c>
      <c r="AI153">
        <v>39617616</v>
      </c>
      <c r="AJ153">
        <v>163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ROW(Source!A118)</f>
        <v>118</v>
      </c>
      <c r="B154">
        <v>39617617</v>
      </c>
      <c r="C154">
        <v>39617610</v>
      </c>
      <c r="D154">
        <v>36804940</v>
      </c>
      <c r="E154">
        <v>1</v>
      </c>
      <c r="F154">
        <v>1</v>
      </c>
      <c r="G154">
        <v>1</v>
      </c>
      <c r="H154">
        <v>3</v>
      </c>
      <c r="I154" t="s">
        <v>614</v>
      </c>
      <c r="J154" t="s">
        <v>615</v>
      </c>
      <c r="K154" t="s">
        <v>616</v>
      </c>
      <c r="L154">
        <v>1348</v>
      </c>
      <c r="N154">
        <v>1009</v>
      </c>
      <c r="O154" t="s">
        <v>72</v>
      </c>
      <c r="P154" t="s">
        <v>72</v>
      </c>
      <c r="Q154">
        <v>1000</v>
      </c>
      <c r="X154">
        <v>1.6000000000000001E-4</v>
      </c>
      <c r="Y154">
        <v>29800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1.6000000000000001E-4</v>
      </c>
      <c r="AH154">
        <v>2</v>
      </c>
      <c r="AI154">
        <v>39617617</v>
      </c>
      <c r="AJ154">
        <v>164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ROW(Source!A118)</f>
        <v>118</v>
      </c>
      <c r="B155">
        <v>39617618</v>
      </c>
      <c r="C155">
        <v>39617610</v>
      </c>
      <c r="D155">
        <v>36804944</v>
      </c>
      <c r="E155">
        <v>1</v>
      </c>
      <c r="F155">
        <v>1</v>
      </c>
      <c r="G155">
        <v>1</v>
      </c>
      <c r="H155">
        <v>3</v>
      </c>
      <c r="I155" t="s">
        <v>605</v>
      </c>
      <c r="J155" t="s">
        <v>606</v>
      </c>
      <c r="K155" t="s">
        <v>607</v>
      </c>
      <c r="L155">
        <v>1348</v>
      </c>
      <c r="N155">
        <v>1009</v>
      </c>
      <c r="O155" t="s">
        <v>72</v>
      </c>
      <c r="P155" t="s">
        <v>72</v>
      </c>
      <c r="Q155">
        <v>1000</v>
      </c>
      <c r="X155">
        <v>2.9999999999999997E-4</v>
      </c>
      <c r="Y155">
        <v>12430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2.9999999999999997E-4</v>
      </c>
      <c r="AH155">
        <v>2</v>
      </c>
      <c r="AI155">
        <v>39617618</v>
      </c>
      <c r="AJ155">
        <v>165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ROW(Source!A118)</f>
        <v>118</v>
      </c>
      <c r="B156">
        <v>39617619</v>
      </c>
      <c r="C156">
        <v>39617610</v>
      </c>
      <c r="D156">
        <v>36799065</v>
      </c>
      <c r="E156">
        <v>17</v>
      </c>
      <c r="F156">
        <v>1</v>
      </c>
      <c r="G156">
        <v>1</v>
      </c>
      <c r="H156">
        <v>3</v>
      </c>
      <c r="I156" t="s">
        <v>578</v>
      </c>
      <c r="J156" t="s">
        <v>3</v>
      </c>
      <c r="K156" t="s">
        <v>579</v>
      </c>
      <c r="L156">
        <v>1374</v>
      </c>
      <c r="N156">
        <v>1013</v>
      </c>
      <c r="O156" t="s">
        <v>580</v>
      </c>
      <c r="P156" t="s">
        <v>580</v>
      </c>
      <c r="Q156">
        <v>1</v>
      </c>
      <c r="X156">
        <v>6.86</v>
      </c>
      <c r="Y156">
        <v>1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6.86</v>
      </c>
      <c r="AH156">
        <v>2</v>
      </c>
      <c r="AI156">
        <v>39617619</v>
      </c>
      <c r="AJ156">
        <v>167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ROW(Source!A120)</f>
        <v>120</v>
      </c>
      <c r="B157">
        <v>39617621</v>
      </c>
      <c r="C157">
        <v>39617620</v>
      </c>
      <c r="D157">
        <v>37080781</v>
      </c>
      <c r="E157">
        <v>1</v>
      </c>
      <c r="F157">
        <v>1</v>
      </c>
      <c r="G157">
        <v>1</v>
      </c>
      <c r="H157">
        <v>1</v>
      </c>
      <c r="I157" t="s">
        <v>581</v>
      </c>
      <c r="J157" t="s">
        <v>3</v>
      </c>
      <c r="K157" t="s">
        <v>582</v>
      </c>
      <c r="L157">
        <v>1191</v>
      </c>
      <c r="N157">
        <v>1013</v>
      </c>
      <c r="O157" t="s">
        <v>459</v>
      </c>
      <c r="P157" t="s">
        <v>459</v>
      </c>
      <c r="Q157">
        <v>1</v>
      </c>
      <c r="X157">
        <v>31.6</v>
      </c>
      <c r="Y157">
        <v>0</v>
      </c>
      <c r="Z157">
        <v>0</v>
      </c>
      <c r="AA157">
        <v>0</v>
      </c>
      <c r="AB157">
        <v>9.92</v>
      </c>
      <c r="AC157">
        <v>0</v>
      </c>
      <c r="AD157">
        <v>1</v>
      </c>
      <c r="AE157">
        <v>1</v>
      </c>
      <c r="AF157" t="s">
        <v>3</v>
      </c>
      <c r="AG157">
        <v>31.6</v>
      </c>
      <c r="AH157">
        <v>2</v>
      </c>
      <c r="AI157">
        <v>39617621</v>
      </c>
      <c r="AJ157">
        <v>168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ROW(Source!A120)</f>
        <v>120</v>
      </c>
      <c r="B158">
        <v>39617622</v>
      </c>
      <c r="C158">
        <v>39617620</v>
      </c>
      <c r="D158">
        <v>37064876</v>
      </c>
      <c r="E158">
        <v>1</v>
      </c>
      <c r="F158">
        <v>1</v>
      </c>
      <c r="G158">
        <v>1</v>
      </c>
      <c r="H158">
        <v>1</v>
      </c>
      <c r="I158" t="s">
        <v>460</v>
      </c>
      <c r="J158" t="s">
        <v>3</v>
      </c>
      <c r="K158" t="s">
        <v>461</v>
      </c>
      <c r="L158">
        <v>1191</v>
      </c>
      <c r="N158">
        <v>1013</v>
      </c>
      <c r="O158" t="s">
        <v>459</v>
      </c>
      <c r="P158" t="s">
        <v>459</v>
      </c>
      <c r="Q158">
        <v>1</v>
      </c>
      <c r="X158">
        <v>0.05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2</v>
      </c>
      <c r="AF158" t="s">
        <v>3</v>
      </c>
      <c r="AG158">
        <v>0.05</v>
      </c>
      <c r="AH158">
        <v>2</v>
      </c>
      <c r="AI158">
        <v>39617622</v>
      </c>
      <c r="AJ158">
        <v>169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ROW(Source!A120)</f>
        <v>120</v>
      </c>
      <c r="B159">
        <v>39617623</v>
      </c>
      <c r="C159">
        <v>39617620</v>
      </c>
      <c r="D159">
        <v>36882159</v>
      </c>
      <c r="E159">
        <v>1</v>
      </c>
      <c r="F159">
        <v>1</v>
      </c>
      <c r="G159">
        <v>1</v>
      </c>
      <c r="H159">
        <v>2</v>
      </c>
      <c r="I159" t="s">
        <v>566</v>
      </c>
      <c r="J159" t="s">
        <v>567</v>
      </c>
      <c r="K159" t="s">
        <v>568</v>
      </c>
      <c r="L159">
        <v>1368</v>
      </c>
      <c r="N159">
        <v>1011</v>
      </c>
      <c r="O159" t="s">
        <v>465</v>
      </c>
      <c r="P159" t="s">
        <v>465</v>
      </c>
      <c r="Q159">
        <v>1</v>
      </c>
      <c r="X159">
        <v>0.03</v>
      </c>
      <c r="Y159">
        <v>0</v>
      </c>
      <c r="Z159">
        <v>111.99</v>
      </c>
      <c r="AA159">
        <v>13.5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0.03</v>
      </c>
      <c r="AH159">
        <v>2</v>
      </c>
      <c r="AI159">
        <v>39617623</v>
      </c>
      <c r="AJ159">
        <v>170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ROW(Source!A120)</f>
        <v>120</v>
      </c>
      <c r="B160">
        <v>39617624</v>
      </c>
      <c r="C160">
        <v>39617620</v>
      </c>
      <c r="D160">
        <v>36883554</v>
      </c>
      <c r="E160">
        <v>1</v>
      </c>
      <c r="F160">
        <v>1</v>
      </c>
      <c r="G160">
        <v>1</v>
      </c>
      <c r="H160">
        <v>2</v>
      </c>
      <c r="I160" t="s">
        <v>468</v>
      </c>
      <c r="J160" t="s">
        <v>469</v>
      </c>
      <c r="K160" t="s">
        <v>470</v>
      </c>
      <c r="L160">
        <v>1368</v>
      </c>
      <c r="N160">
        <v>1011</v>
      </c>
      <c r="O160" t="s">
        <v>465</v>
      </c>
      <c r="P160" t="s">
        <v>465</v>
      </c>
      <c r="Q160">
        <v>1</v>
      </c>
      <c r="X160">
        <v>0.02</v>
      </c>
      <c r="Y160">
        <v>0</v>
      </c>
      <c r="Z160">
        <v>65.709999999999994</v>
      </c>
      <c r="AA160">
        <v>11.6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0.02</v>
      </c>
      <c r="AH160">
        <v>2</v>
      </c>
      <c r="AI160">
        <v>39617624</v>
      </c>
      <c r="AJ160">
        <v>171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ROW(Source!A120)</f>
        <v>120</v>
      </c>
      <c r="B161">
        <v>39617625</v>
      </c>
      <c r="C161">
        <v>39617620</v>
      </c>
      <c r="D161">
        <v>36802094</v>
      </c>
      <c r="E161">
        <v>1</v>
      </c>
      <c r="F161">
        <v>1</v>
      </c>
      <c r="G161">
        <v>1</v>
      </c>
      <c r="H161">
        <v>3</v>
      </c>
      <c r="I161" t="s">
        <v>569</v>
      </c>
      <c r="J161" t="s">
        <v>570</v>
      </c>
      <c r="K161" t="s">
        <v>571</v>
      </c>
      <c r="L161">
        <v>1346</v>
      </c>
      <c r="N161">
        <v>1009</v>
      </c>
      <c r="O161" t="s">
        <v>77</v>
      </c>
      <c r="P161" t="s">
        <v>77</v>
      </c>
      <c r="Q161">
        <v>1</v>
      </c>
      <c r="X161">
        <v>0.11</v>
      </c>
      <c r="Y161">
        <v>30.4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0.11</v>
      </c>
      <c r="AH161">
        <v>2</v>
      </c>
      <c r="AI161">
        <v>39617625</v>
      </c>
      <c r="AJ161">
        <v>172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ROW(Source!A120)</f>
        <v>120</v>
      </c>
      <c r="B162">
        <v>39617626</v>
      </c>
      <c r="C162">
        <v>39617620</v>
      </c>
      <c r="D162">
        <v>36804580</v>
      </c>
      <c r="E162">
        <v>1</v>
      </c>
      <c r="F162">
        <v>1</v>
      </c>
      <c r="G162">
        <v>1</v>
      </c>
      <c r="H162">
        <v>3</v>
      </c>
      <c r="I162" t="s">
        <v>611</v>
      </c>
      <c r="J162" t="s">
        <v>612</v>
      </c>
      <c r="K162" t="s">
        <v>613</v>
      </c>
      <c r="L162">
        <v>1355</v>
      </c>
      <c r="N162">
        <v>1010</v>
      </c>
      <c r="O162" t="s">
        <v>90</v>
      </c>
      <c r="P162" t="s">
        <v>90</v>
      </c>
      <c r="Q162">
        <v>100</v>
      </c>
      <c r="X162">
        <v>1.02</v>
      </c>
      <c r="Y162">
        <v>86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1.02</v>
      </c>
      <c r="AH162">
        <v>2</v>
      </c>
      <c r="AI162">
        <v>39617626</v>
      </c>
      <c r="AJ162">
        <v>173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ROW(Source!A120)</f>
        <v>120</v>
      </c>
      <c r="B163">
        <v>39617627</v>
      </c>
      <c r="C163">
        <v>39617620</v>
      </c>
      <c r="D163">
        <v>36804940</v>
      </c>
      <c r="E163">
        <v>1</v>
      </c>
      <c r="F163">
        <v>1</v>
      </c>
      <c r="G163">
        <v>1</v>
      </c>
      <c r="H163">
        <v>3</v>
      </c>
      <c r="I163" t="s">
        <v>614</v>
      </c>
      <c r="J163" t="s">
        <v>615</v>
      </c>
      <c r="K163" t="s">
        <v>616</v>
      </c>
      <c r="L163">
        <v>1348</v>
      </c>
      <c r="N163">
        <v>1009</v>
      </c>
      <c r="O163" t="s">
        <v>72</v>
      </c>
      <c r="P163" t="s">
        <v>72</v>
      </c>
      <c r="Q163">
        <v>1000</v>
      </c>
      <c r="X163">
        <v>1.6000000000000001E-4</v>
      </c>
      <c r="Y163">
        <v>29800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1.6000000000000001E-4</v>
      </c>
      <c r="AH163">
        <v>2</v>
      </c>
      <c r="AI163">
        <v>39617627</v>
      </c>
      <c r="AJ163">
        <v>174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ROW(Source!A120)</f>
        <v>120</v>
      </c>
      <c r="B164">
        <v>39617628</v>
      </c>
      <c r="C164">
        <v>39617620</v>
      </c>
      <c r="D164">
        <v>36804944</v>
      </c>
      <c r="E164">
        <v>1</v>
      </c>
      <c r="F164">
        <v>1</v>
      </c>
      <c r="G164">
        <v>1</v>
      </c>
      <c r="H164">
        <v>3</v>
      </c>
      <c r="I164" t="s">
        <v>605</v>
      </c>
      <c r="J164" t="s">
        <v>606</v>
      </c>
      <c r="K164" t="s">
        <v>607</v>
      </c>
      <c r="L164">
        <v>1348</v>
      </c>
      <c r="N164">
        <v>1009</v>
      </c>
      <c r="O164" t="s">
        <v>72</v>
      </c>
      <c r="P164" t="s">
        <v>72</v>
      </c>
      <c r="Q164">
        <v>1000</v>
      </c>
      <c r="X164">
        <v>2.9999999999999997E-4</v>
      </c>
      <c r="Y164">
        <v>12430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2.9999999999999997E-4</v>
      </c>
      <c r="AH164">
        <v>2</v>
      </c>
      <c r="AI164">
        <v>39617628</v>
      </c>
      <c r="AJ164">
        <v>175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ROW(Source!A120)</f>
        <v>120</v>
      </c>
      <c r="B165">
        <v>39617629</v>
      </c>
      <c r="C165">
        <v>39617620</v>
      </c>
      <c r="D165">
        <v>36799065</v>
      </c>
      <c r="E165">
        <v>17</v>
      </c>
      <c r="F165">
        <v>1</v>
      </c>
      <c r="G165">
        <v>1</v>
      </c>
      <c r="H165">
        <v>3</v>
      </c>
      <c r="I165" t="s">
        <v>578</v>
      </c>
      <c r="J165" t="s">
        <v>3</v>
      </c>
      <c r="K165" t="s">
        <v>579</v>
      </c>
      <c r="L165">
        <v>1374</v>
      </c>
      <c r="N165">
        <v>1013</v>
      </c>
      <c r="O165" t="s">
        <v>580</v>
      </c>
      <c r="P165" t="s">
        <v>580</v>
      </c>
      <c r="Q165">
        <v>1</v>
      </c>
      <c r="X165">
        <v>6.27</v>
      </c>
      <c r="Y165">
        <v>1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6.27</v>
      </c>
      <c r="AH165">
        <v>2</v>
      </c>
      <c r="AI165">
        <v>39617629</v>
      </c>
      <c r="AJ165">
        <v>177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ROW(Source!A122)</f>
        <v>122</v>
      </c>
      <c r="B166">
        <v>39617631</v>
      </c>
      <c r="C166">
        <v>39617630</v>
      </c>
      <c r="D166">
        <v>37077359</v>
      </c>
      <c r="E166">
        <v>1</v>
      </c>
      <c r="F166">
        <v>1</v>
      </c>
      <c r="G166">
        <v>1</v>
      </c>
      <c r="H166">
        <v>1</v>
      </c>
      <c r="I166" t="s">
        <v>564</v>
      </c>
      <c r="J166" t="s">
        <v>3</v>
      </c>
      <c r="K166" t="s">
        <v>565</v>
      </c>
      <c r="L166">
        <v>1191</v>
      </c>
      <c r="N166">
        <v>1013</v>
      </c>
      <c r="O166" t="s">
        <v>459</v>
      </c>
      <c r="P166" t="s">
        <v>459</v>
      </c>
      <c r="Q166">
        <v>1</v>
      </c>
      <c r="X166">
        <v>0.9</v>
      </c>
      <c r="Y166">
        <v>0</v>
      </c>
      <c r="Z166">
        <v>0</v>
      </c>
      <c r="AA166">
        <v>0</v>
      </c>
      <c r="AB166">
        <v>10.5</v>
      </c>
      <c r="AC166">
        <v>0</v>
      </c>
      <c r="AD166">
        <v>1</v>
      </c>
      <c r="AE166">
        <v>1</v>
      </c>
      <c r="AF166" t="s">
        <v>3</v>
      </c>
      <c r="AG166">
        <v>0.9</v>
      </c>
      <c r="AH166">
        <v>2</v>
      </c>
      <c r="AI166">
        <v>39617631</v>
      </c>
      <c r="AJ166">
        <v>178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ROW(Source!A122)</f>
        <v>122</v>
      </c>
      <c r="B167">
        <v>39617632</v>
      </c>
      <c r="C167">
        <v>39617630</v>
      </c>
      <c r="D167">
        <v>37064876</v>
      </c>
      <c r="E167">
        <v>1</v>
      </c>
      <c r="F167">
        <v>1</v>
      </c>
      <c r="G167">
        <v>1</v>
      </c>
      <c r="H167">
        <v>1</v>
      </c>
      <c r="I167" t="s">
        <v>460</v>
      </c>
      <c r="J167" t="s">
        <v>3</v>
      </c>
      <c r="K167" t="s">
        <v>461</v>
      </c>
      <c r="L167">
        <v>1191</v>
      </c>
      <c r="N167">
        <v>1013</v>
      </c>
      <c r="O167" t="s">
        <v>459</v>
      </c>
      <c r="P167" t="s">
        <v>459</v>
      </c>
      <c r="Q167">
        <v>1</v>
      </c>
      <c r="X167">
        <v>0.2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2</v>
      </c>
      <c r="AF167" t="s">
        <v>3</v>
      </c>
      <c r="AG167">
        <v>0.2</v>
      </c>
      <c r="AH167">
        <v>2</v>
      </c>
      <c r="AI167">
        <v>39617632</v>
      </c>
      <c r="AJ167">
        <v>179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ROW(Source!A122)</f>
        <v>122</v>
      </c>
      <c r="B168">
        <v>39617633</v>
      </c>
      <c r="C168">
        <v>39617630</v>
      </c>
      <c r="D168">
        <v>36882159</v>
      </c>
      <c r="E168">
        <v>1</v>
      </c>
      <c r="F168">
        <v>1</v>
      </c>
      <c r="G168">
        <v>1</v>
      </c>
      <c r="H168">
        <v>2</v>
      </c>
      <c r="I168" t="s">
        <v>566</v>
      </c>
      <c r="J168" t="s">
        <v>567</v>
      </c>
      <c r="K168" t="s">
        <v>568</v>
      </c>
      <c r="L168">
        <v>1368</v>
      </c>
      <c r="N168">
        <v>1011</v>
      </c>
      <c r="O168" t="s">
        <v>465</v>
      </c>
      <c r="P168" t="s">
        <v>465</v>
      </c>
      <c r="Q168">
        <v>1</v>
      </c>
      <c r="X168">
        <v>0.1</v>
      </c>
      <c r="Y168">
        <v>0</v>
      </c>
      <c r="Z168">
        <v>111.99</v>
      </c>
      <c r="AA168">
        <v>13.5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0.1</v>
      </c>
      <c r="AH168">
        <v>2</v>
      </c>
      <c r="AI168">
        <v>39617633</v>
      </c>
      <c r="AJ168">
        <v>180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ROW(Source!A122)</f>
        <v>122</v>
      </c>
      <c r="B169">
        <v>39617634</v>
      </c>
      <c r="C169">
        <v>39617630</v>
      </c>
      <c r="D169">
        <v>36883554</v>
      </c>
      <c r="E169">
        <v>1</v>
      </c>
      <c r="F169">
        <v>1</v>
      </c>
      <c r="G169">
        <v>1</v>
      </c>
      <c r="H169">
        <v>2</v>
      </c>
      <c r="I169" t="s">
        <v>468</v>
      </c>
      <c r="J169" t="s">
        <v>469</v>
      </c>
      <c r="K169" t="s">
        <v>470</v>
      </c>
      <c r="L169">
        <v>1368</v>
      </c>
      <c r="N169">
        <v>1011</v>
      </c>
      <c r="O169" t="s">
        <v>465</v>
      </c>
      <c r="P169" t="s">
        <v>465</v>
      </c>
      <c r="Q169">
        <v>1</v>
      </c>
      <c r="X169">
        <v>0.1</v>
      </c>
      <c r="Y169">
        <v>0</v>
      </c>
      <c r="Z169">
        <v>65.709999999999994</v>
      </c>
      <c r="AA169">
        <v>11.6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0.1</v>
      </c>
      <c r="AH169">
        <v>2</v>
      </c>
      <c r="AI169">
        <v>39617634</v>
      </c>
      <c r="AJ169">
        <v>181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ROW(Source!A122)</f>
        <v>122</v>
      </c>
      <c r="B170">
        <v>39617635</v>
      </c>
      <c r="C170">
        <v>39617630</v>
      </c>
      <c r="D170">
        <v>36802094</v>
      </c>
      <c r="E170">
        <v>1</v>
      </c>
      <c r="F170">
        <v>1</v>
      </c>
      <c r="G170">
        <v>1</v>
      </c>
      <c r="H170">
        <v>3</v>
      </c>
      <c r="I170" t="s">
        <v>569</v>
      </c>
      <c r="J170" t="s">
        <v>570</v>
      </c>
      <c r="K170" t="s">
        <v>571</v>
      </c>
      <c r="L170">
        <v>1346</v>
      </c>
      <c r="N170">
        <v>1009</v>
      </c>
      <c r="O170" t="s">
        <v>77</v>
      </c>
      <c r="P170" t="s">
        <v>77</v>
      </c>
      <c r="Q170">
        <v>1</v>
      </c>
      <c r="X170">
        <v>0.01</v>
      </c>
      <c r="Y170">
        <v>30.4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0.01</v>
      </c>
      <c r="AH170">
        <v>2</v>
      </c>
      <c r="AI170">
        <v>39617635</v>
      </c>
      <c r="AJ170">
        <v>182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ROW(Source!A122)</f>
        <v>122</v>
      </c>
      <c r="B171">
        <v>39617636</v>
      </c>
      <c r="C171">
        <v>39617630</v>
      </c>
      <c r="D171">
        <v>36804448</v>
      </c>
      <c r="E171">
        <v>1</v>
      </c>
      <c r="F171">
        <v>1</v>
      </c>
      <c r="G171">
        <v>1</v>
      </c>
      <c r="H171">
        <v>3</v>
      </c>
      <c r="I171" t="s">
        <v>572</v>
      </c>
      <c r="J171" t="s">
        <v>573</v>
      </c>
      <c r="K171" t="s">
        <v>574</v>
      </c>
      <c r="L171">
        <v>1346</v>
      </c>
      <c r="N171">
        <v>1009</v>
      </c>
      <c r="O171" t="s">
        <v>77</v>
      </c>
      <c r="P171" t="s">
        <v>77</v>
      </c>
      <c r="Q171">
        <v>1</v>
      </c>
      <c r="X171">
        <v>0.3</v>
      </c>
      <c r="Y171">
        <v>9.0399999999999991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0.3</v>
      </c>
      <c r="AH171">
        <v>2</v>
      </c>
      <c r="AI171">
        <v>39617636</v>
      </c>
      <c r="AJ171">
        <v>183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ROW(Source!A122)</f>
        <v>122</v>
      </c>
      <c r="B172">
        <v>39617637</v>
      </c>
      <c r="C172">
        <v>39617630</v>
      </c>
      <c r="D172">
        <v>36825981</v>
      </c>
      <c r="E172">
        <v>1</v>
      </c>
      <c r="F172">
        <v>1</v>
      </c>
      <c r="G172">
        <v>1</v>
      </c>
      <c r="H172">
        <v>3</v>
      </c>
      <c r="I172" t="s">
        <v>575</v>
      </c>
      <c r="J172" t="s">
        <v>576</v>
      </c>
      <c r="K172" t="s">
        <v>577</v>
      </c>
      <c r="L172">
        <v>1348</v>
      </c>
      <c r="N172">
        <v>1009</v>
      </c>
      <c r="O172" t="s">
        <v>72</v>
      </c>
      <c r="P172" t="s">
        <v>72</v>
      </c>
      <c r="Q172">
        <v>1000</v>
      </c>
      <c r="X172">
        <v>5.9999999999999995E-4</v>
      </c>
      <c r="Y172">
        <v>5000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5.9999999999999995E-4</v>
      </c>
      <c r="AH172">
        <v>2</v>
      </c>
      <c r="AI172">
        <v>39617637</v>
      </c>
      <c r="AJ172">
        <v>184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ROW(Source!A122)</f>
        <v>122</v>
      </c>
      <c r="B173">
        <v>39617638</v>
      </c>
      <c r="C173">
        <v>39617630</v>
      </c>
      <c r="D173">
        <v>36799065</v>
      </c>
      <c r="E173">
        <v>17</v>
      </c>
      <c r="F173">
        <v>1</v>
      </c>
      <c r="G173">
        <v>1</v>
      </c>
      <c r="H173">
        <v>3</v>
      </c>
      <c r="I173" t="s">
        <v>578</v>
      </c>
      <c r="J173" t="s">
        <v>3</v>
      </c>
      <c r="K173" t="s">
        <v>579</v>
      </c>
      <c r="L173">
        <v>1374</v>
      </c>
      <c r="N173">
        <v>1013</v>
      </c>
      <c r="O173" t="s">
        <v>580</v>
      </c>
      <c r="P173" t="s">
        <v>580</v>
      </c>
      <c r="Q173">
        <v>1</v>
      </c>
      <c r="X173">
        <v>0.19</v>
      </c>
      <c r="Y173">
        <v>1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0.19</v>
      </c>
      <c r="AH173">
        <v>2</v>
      </c>
      <c r="AI173">
        <v>39617638</v>
      </c>
      <c r="AJ173">
        <v>186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ROW(Source!A124)</f>
        <v>124</v>
      </c>
      <c r="B174">
        <v>39617640</v>
      </c>
      <c r="C174">
        <v>39617639</v>
      </c>
      <c r="D174">
        <v>37070202</v>
      </c>
      <c r="E174">
        <v>1</v>
      </c>
      <c r="F174">
        <v>1</v>
      </c>
      <c r="G174">
        <v>1</v>
      </c>
      <c r="H174">
        <v>1</v>
      </c>
      <c r="I174" t="s">
        <v>600</v>
      </c>
      <c r="J174" t="s">
        <v>3</v>
      </c>
      <c r="K174" t="s">
        <v>601</v>
      </c>
      <c r="L174">
        <v>1191</v>
      </c>
      <c r="N174">
        <v>1013</v>
      </c>
      <c r="O174" t="s">
        <v>459</v>
      </c>
      <c r="P174" t="s">
        <v>459</v>
      </c>
      <c r="Q174">
        <v>1</v>
      </c>
      <c r="X174">
        <v>1.56</v>
      </c>
      <c r="Y174">
        <v>0</v>
      </c>
      <c r="Z174">
        <v>0</v>
      </c>
      <c r="AA174">
        <v>0</v>
      </c>
      <c r="AB174">
        <v>9.51</v>
      </c>
      <c r="AC174">
        <v>0</v>
      </c>
      <c r="AD174">
        <v>1</v>
      </c>
      <c r="AE174">
        <v>1</v>
      </c>
      <c r="AF174" t="s">
        <v>3</v>
      </c>
      <c r="AG174">
        <v>1.56</v>
      </c>
      <c r="AH174">
        <v>2</v>
      </c>
      <c r="AI174">
        <v>39617640</v>
      </c>
      <c r="AJ174">
        <v>187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ROW(Source!A124)</f>
        <v>124</v>
      </c>
      <c r="B175">
        <v>39617641</v>
      </c>
      <c r="C175">
        <v>39617639</v>
      </c>
      <c r="D175">
        <v>36883858</v>
      </c>
      <c r="E175">
        <v>1</v>
      </c>
      <c r="F175">
        <v>1</v>
      </c>
      <c r="G175">
        <v>1</v>
      </c>
      <c r="H175">
        <v>2</v>
      </c>
      <c r="I175" t="s">
        <v>617</v>
      </c>
      <c r="J175" t="s">
        <v>618</v>
      </c>
      <c r="K175" t="s">
        <v>619</v>
      </c>
      <c r="L175">
        <v>1368</v>
      </c>
      <c r="N175">
        <v>1011</v>
      </c>
      <c r="O175" t="s">
        <v>465</v>
      </c>
      <c r="P175" t="s">
        <v>465</v>
      </c>
      <c r="Q175">
        <v>1</v>
      </c>
      <c r="X175">
        <v>0.13</v>
      </c>
      <c r="Y175">
        <v>0</v>
      </c>
      <c r="Z175">
        <v>8.1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0.13</v>
      </c>
      <c r="AH175">
        <v>2</v>
      </c>
      <c r="AI175">
        <v>39617641</v>
      </c>
      <c r="AJ175">
        <v>188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ROW(Source!A124)</f>
        <v>124</v>
      </c>
      <c r="B176">
        <v>39617642</v>
      </c>
      <c r="C176">
        <v>39617639</v>
      </c>
      <c r="D176">
        <v>36800043</v>
      </c>
      <c r="E176">
        <v>1</v>
      </c>
      <c r="F176">
        <v>1</v>
      </c>
      <c r="G176">
        <v>1</v>
      </c>
      <c r="H176">
        <v>3</v>
      </c>
      <c r="I176" t="s">
        <v>620</v>
      </c>
      <c r="J176" t="s">
        <v>621</v>
      </c>
      <c r="K176" t="s">
        <v>622</v>
      </c>
      <c r="L176">
        <v>1346</v>
      </c>
      <c r="N176">
        <v>1009</v>
      </c>
      <c r="O176" t="s">
        <v>77</v>
      </c>
      <c r="P176" t="s">
        <v>77</v>
      </c>
      <c r="Q176">
        <v>1</v>
      </c>
      <c r="X176">
        <v>6.0000000000000001E-3</v>
      </c>
      <c r="Y176">
        <v>44.97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6.0000000000000001E-3</v>
      </c>
      <c r="AH176">
        <v>2</v>
      </c>
      <c r="AI176">
        <v>39617642</v>
      </c>
      <c r="AJ176">
        <v>189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ROW(Source!A124)</f>
        <v>124</v>
      </c>
      <c r="B177">
        <v>39617643</v>
      </c>
      <c r="C177">
        <v>39617639</v>
      </c>
      <c r="D177">
        <v>36801775</v>
      </c>
      <c r="E177">
        <v>1</v>
      </c>
      <c r="F177">
        <v>1</v>
      </c>
      <c r="G177">
        <v>1</v>
      </c>
      <c r="H177">
        <v>3</v>
      </c>
      <c r="I177" t="s">
        <v>623</v>
      </c>
      <c r="J177" t="s">
        <v>624</v>
      </c>
      <c r="K177" t="s">
        <v>625</v>
      </c>
      <c r="L177">
        <v>1346</v>
      </c>
      <c r="N177">
        <v>1009</v>
      </c>
      <c r="O177" t="s">
        <v>77</v>
      </c>
      <c r="P177" t="s">
        <v>77</v>
      </c>
      <c r="Q177">
        <v>1</v>
      </c>
      <c r="X177">
        <v>1E-3</v>
      </c>
      <c r="Y177">
        <v>11.5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1E-3</v>
      </c>
      <c r="AH177">
        <v>2</v>
      </c>
      <c r="AI177">
        <v>39617643</v>
      </c>
      <c r="AJ177">
        <v>190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ROW(Source!A124)</f>
        <v>124</v>
      </c>
      <c r="B178">
        <v>39617644</v>
      </c>
      <c r="C178">
        <v>39617639</v>
      </c>
      <c r="D178">
        <v>36802094</v>
      </c>
      <c r="E178">
        <v>1</v>
      </c>
      <c r="F178">
        <v>1</v>
      </c>
      <c r="G178">
        <v>1</v>
      </c>
      <c r="H178">
        <v>3</v>
      </c>
      <c r="I178" t="s">
        <v>569</v>
      </c>
      <c r="J178" t="s">
        <v>570</v>
      </c>
      <c r="K178" t="s">
        <v>571</v>
      </c>
      <c r="L178">
        <v>1346</v>
      </c>
      <c r="N178">
        <v>1009</v>
      </c>
      <c r="O178" t="s">
        <v>77</v>
      </c>
      <c r="P178" t="s">
        <v>77</v>
      </c>
      <c r="Q178">
        <v>1</v>
      </c>
      <c r="X178">
        <v>1.2E-2</v>
      </c>
      <c r="Y178">
        <v>30.4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1.2E-2</v>
      </c>
      <c r="AH178">
        <v>2</v>
      </c>
      <c r="AI178">
        <v>39617644</v>
      </c>
      <c r="AJ178">
        <v>191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ROW(Source!A124)</f>
        <v>124</v>
      </c>
      <c r="B179">
        <v>39617645</v>
      </c>
      <c r="C179">
        <v>39617639</v>
      </c>
      <c r="D179">
        <v>36803258</v>
      </c>
      <c r="E179">
        <v>1</v>
      </c>
      <c r="F179">
        <v>1</v>
      </c>
      <c r="G179">
        <v>1</v>
      </c>
      <c r="H179">
        <v>3</v>
      </c>
      <c r="I179" t="s">
        <v>626</v>
      </c>
      <c r="J179" t="s">
        <v>627</v>
      </c>
      <c r="K179" t="s">
        <v>628</v>
      </c>
      <c r="L179">
        <v>1346</v>
      </c>
      <c r="N179">
        <v>1009</v>
      </c>
      <c r="O179" t="s">
        <v>77</v>
      </c>
      <c r="P179" t="s">
        <v>77</v>
      </c>
      <c r="Q179">
        <v>1</v>
      </c>
      <c r="X179">
        <v>7.0000000000000007E-2</v>
      </c>
      <c r="Y179">
        <v>10.57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7.0000000000000007E-2</v>
      </c>
      <c r="AH179">
        <v>2</v>
      </c>
      <c r="AI179">
        <v>39617645</v>
      </c>
      <c r="AJ179">
        <v>192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ROW(Source!A124)</f>
        <v>124</v>
      </c>
      <c r="B180">
        <v>39617646</v>
      </c>
      <c r="C180">
        <v>39617639</v>
      </c>
      <c r="D180">
        <v>36804448</v>
      </c>
      <c r="E180">
        <v>1</v>
      </c>
      <c r="F180">
        <v>1</v>
      </c>
      <c r="G180">
        <v>1</v>
      </c>
      <c r="H180">
        <v>3</v>
      </c>
      <c r="I180" t="s">
        <v>572</v>
      </c>
      <c r="J180" t="s">
        <v>573</v>
      </c>
      <c r="K180" t="s">
        <v>574</v>
      </c>
      <c r="L180">
        <v>1346</v>
      </c>
      <c r="N180">
        <v>1009</v>
      </c>
      <c r="O180" t="s">
        <v>77</v>
      </c>
      <c r="P180" t="s">
        <v>77</v>
      </c>
      <c r="Q180">
        <v>1</v>
      </c>
      <c r="X180">
        <v>4.9000000000000002E-2</v>
      </c>
      <c r="Y180">
        <v>9.0399999999999991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4.9000000000000002E-2</v>
      </c>
      <c r="AH180">
        <v>2</v>
      </c>
      <c r="AI180">
        <v>39617646</v>
      </c>
      <c r="AJ180">
        <v>193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ROW(Source!A124)</f>
        <v>124</v>
      </c>
      <c r="B181">
        <v>39617647</v>
      </c>
      <c r="C181">
        <v>39617639</v>
      </c>
      <c r="D181">
        <v>36804580</v>
      </c>
      <c r="E181">
        <v>1</v>
      </c>
      <c r="F181">
        <v>1</v>
      </c>
      <c r="G181">
        <v>1</v>
      </c>
      <c r="H181">
        <v>3</v>
      </c>
      <c r="I181" t="s">
        <v>611</v>
      </c>
      <c r="J181" t="s">
        <v>612</v>
      </c>
      <c r="K181" t="s">
        <v>613</v>
      </c>
      <c r="L181">
        <v>1355</v>
      </c>
      <c r="N181">
        <v>1010</v>
      </c>
      <c r="O181" t="s">
        <v>90</v>
      </c>
      <c r="P181" t="s">
        <v>90</v>
      </c>
      <c r="Q181">
        <v>100</v>
      </c>
      <c r="X181">
        <v>1.4E-2</v>
      </c>
      <c r="Y181">
        <v>86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1.4E-2</v>
      </c>
      <c r="AH181">
        <v>2</v>
      </c>
      <c r="AI181">
        <v>39617647</v>
      </c>
      <c r="AJ181">
        <v>194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ROW(Source!A124)</f>
        <v>124</v>
      </c>
      <c r="B182">
        <v>39617648</v>
      </c>
      <c r="C182">
        <v>39617639</v>
      </c>
      <c r="D182">
        <v>36805500</v>
      </c>
      <c r="E182">
        <v>1</v>
      </c>
      <c r="F182">
        <v>1</v>
      </c>
      <c r="G182">
        <v>1</v>
      </c>
      <c r="H182">
        <v>3</v>
      </c>
      <c r="I182" t="s">
        <v>629</v>
      </c>
      <c r="J182" t="s">
        <v>630</v>
      </c>
      <c r="K182" t="s">
        <v>631</v>
      </c>
      <c r="L182">
        <v>1346</v>
      </c>
      <c r="N182">
        <v>1009</v>
      </c>
      <c r="O182" t="s">
        <v>77</v>
      </c>
      <c r="P182" t="s">
        <v>77</v>
      </c>
      <c r="Q182">
        <v>1</v>
      </c>
      <c r="X182">
        <v>1E-3</v>
      </c>
      <c r="Y182">
        <v>133.05000000000001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1E-3</v>
      </c>
      <c r="AH182">
        <v>2</v>
      </c>
      <c r="AI182">
        <v>39617648</v>
      </c>
      <c r="AJ182">
        <v>195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ROW(Source!A124)</f>
        <v>124</v>
      </c>
      <c r="B183">
        <v>39617649</v>
      </c>
      <c r="C183">
        <v>39617639</v>
      </c>
      <c r="D183">
        <v>36823140</v>
      </c>
      <c r="E183">
        <v>1</v>
      </c>
      <c r="F183">
        <v>1</v>
      </c>
      <c r="G183">
        <v>1</v>
      </c>
      <c r="H183">
        <v>3</v>
      </c>
      <c r="I183" t="s">
        <v>632</v>
      </c>
      <c r="J183" t="s">
        <v>633</v>
      </c>
      <c r="K183" t="s">
        <v>634</v>
      </c>
      <c r="L183">
        <v>1348</v>
      </c>
      <c r="N183">
        <v>1009</v>
      </c>
      <c r="O183" t="s">
        <v>72</v>
      </c>
      <c r="P183" t="s">
        <v>72</v>
      </c>
      <c r="Q183">
        <v>1000</v>
      </c>
      <c r="X183">
        <v>1E-3</v>
      </c>
      <c r="Y183">
        <v>11500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1E-3</v>
      </c>
      <c r="AH183">
        <v>2</v>
      </c>
      <c r="AI183">
        <v>39617649</v>
      </c>
      <c r="AJ183">
        <v>196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ROW(Source!A124)</f>
        <v>124</v>
      </c>
      <c r="B184">
        <v>39617650</v>
      </c>
      <c r="C184">
        <v>39617639</v>
      </c>
      <c r="D184">
        <v>36838317</v>
      </c>
      <c r="E184">
        <v>1</v>
      </c>
      <c r="F184">
        <v>1</v>
      </c>
      <c r="G184">
        <v>1</v>
      </c>
      <c r="H184">
        <v>3</v>
      </c>
      <c r="I184" t="s">
        <v>592</v>
      </c>
      <c r="J184" t="s">
        <v>593</v>
      </c>
      <c r="K184" t="s">
        <v>191</v>
      </c>
      <c r="L184">
        <v>1346</v>
      </c>
      <c r="N184">
        <v>1009</v>
      </c>
      <c r="O184" t="s">
        <v>77</v>
      </c>
      <c r="P184" t="s">
        <v>77</v>
      </c>
      <c r="Q184">
        <v>1</v>
      </c>
      <c r="X184">
        <v>3.5999999999999997E-2</v>
      </c>
      <c r="Y184">
        <v>28.6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3.5999999999999997E-2</v>
      </c>
      <c r="AH184">
        <v>2</v>
      </c>
      <c r="AI184">
        <v>39617650</v>
      </c>
      <c r="AJ184">
        <v>197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ROW(Source!A124)</f>
        <v>124</v>
      </c>
      <c r="B185">
        <v>39617651</v>
      </c>
      <c r="C185">
        <v>39617639</v>
      </c>
      <c r="D185">
        <v>36838470</v>
      </c>
      <c r="E185">
        <v>1</v>
      </c>
      <c r="F185">
        <v>1</v>
      </c>
      <c r="G185">
        <v>1</v>
      </c>
      <c r="H185">
        <v>3</v>
      </c>
      <c r="I185" t="s">
        <v>635</v>
      </c>
      <c r="J185" t="s">
        <v>636</v>
      </c>
      <c r="K185" t="s">
        <v>637</v>
      </c>
      <c r="L185">
        <v>1346</v>
      </c>
      <c r="N185">
        <v>1009</v>
      </c>
      <c r="O185" t="s">
        <v>77</v>
      </c>
      <c r="P185" t="s">
        <v>77</v>
      </c>
      <c r="Q185">
        <v>1</v>
      </c>
      <c r="X185">
        <v>6.0000000000000001E-3</v>
      </c>
      <c r="Y185">
        <v>35.630000000000003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6.0000000000000001E-3</v>
      </c>
      <c r="AH185">
        <v>2</v>
      </c>
      <c r="AI185">
        <v>39617651</v>
      </c>
      <c r="AJ185">
        <v>198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ROW(Source!A124)</f>
        <v>124</v>
      </c>
      <c r="B186">
        <v>39617652</v>
      </c>
      <c r="C186">
        <v>39617639</v>
      </c>
      <c r="D186">
        <v>36851945</v>
      </c>
      <c r="E186">
        <v>1</v>
      </c>
      <c r="F186">
        <v>1</v>
      </c>
      <c r="G186">
        <v>1</v>
      </c>
      <c r="H186">
        <v>3</v>
      </c>
      <c r="I186" t="s">
        <v>638</v>
      </c>
      <c r="J186" t="s">
        <v>639</v>
      </c>
      <c r="K186" t="s">
        <v>640</v>
      </c>
      <c r="L186">
        <v>1358</v>
      </c>
      <c r="N186">
        <v>1010</v>
      </c>
      <c r="O186" t="s">
        <v>334</v>
      </c>
      <c r="P186" t="s">
        <v>334</v>
      </c>
      <c r="Q186">
        <v>10</v>
      </c>
      <c r="X186">
        <v>0.1</v>
      </c>
      <c r="Y186">
        <v>39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0.1</v>
      </c>
      <c r="AH186">
        <v>2</v>
      </c>
      <c r="AI186">
        <v>39617652</v>
      </c>
      <c r="AJ186">
        <v>199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ROW(Source!A124)</f>
        <v>124</v>
      </c>
      <c r="B187">
        <v>39617653</v>
      </c>
      <c r="C187">
        <v>39617639</v>
      </c>
      <c r="D187">
        <v>36799065</v>
      </c>
      <c r="E187">
        <v>17</v>
      </c>
      <c r="F187">
        <v>1</v>
      </c>
      <c r="G187">
        <v>1</v>
      </c>
      <c r="H187">
        <v>3</v>
      </c>
      <c r="I187" t="s">
        <v>578</v>
      </c>
      <c r="J187" t="s">
        <v>3</v>
      </c>
      <c r="K187" t="s">
        <v>579</v>
      </c>
      <c r="L187">
        <v>1374</v>
      </c>
      <c r="N187">
        <v>1013</v>
      </c>
      <c r="O187" t="s">
        <v>580</v>
      </c>
      <c r="P187" t="s">
        <v>580</v>
      </c>
      <c r="Q187">
        <v>1</v>
      </c>
      <c r="X187">
        <v>0.3</v>
      </c>
      <c r="Y187">
        <v>1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0.3</v>
      </c>
      <c r="AH187">
        <v>2</v>
      </c>
      <c r="AI187">
        <v>39617653</v>
      </c>
      <c r="AJ187">
        <v>201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ROW(Source!A126)</f>
        <v>126</v>
      </c>
      <c r="B188">
        <v>39617655</v>
      </c>
      <c r="C188">
        <v>39617654</v>
      </c>
      <c r="D188">
        <v>37080781</v>
      </c>
      <c r="E188">
        <v>1</v>
      </c>
      <c r="F188">
        <v>1</v>
      </c>
      <c r="G188">
        <v>1</v>
      </c>
      <c r="H188">
        <v>1</v>
      </c>
      <c r="I188" t="s">
        <v>581</v>
      </c>
      <c r="J188" t="s">
        <v>3</v>
      </c>
      <c r="K188" t="s">
        <v>582</v>
      </c>
      <c r="L188">
        <v>1191</v>
      </c>
      <c r="N188">
        <v>1013</v>
      </c>
      <c r="O188" t="s">
        <v>459</v>
      </c>
      <c r="P188" t="s">
        <v>459</v>
      </c>
      <c r="Q188">
        <v>1</v>
      </c>
      <c r="X188">
        <v>1.1200000000000001</v>
      </c>
      <c r="Y188">
        <v>0</v>
      </c>
      <c r="Z188">
        <v>0</v>
      </c>
      <c r="AA188">
        <v>0</v>
      </c>
      <c r="AB188">
        <v>9.92</v>
      </c>
      <c r="AC188">
        <v>0</v>
      </c>
      <c r="AD188">
        <v>1</v>
      </c>
      <c r="AE188">
        <v>1</v>
      </c>
      <c r="AF188" t="s">
        <v>3</v>
      </c>
      <c r="AG188">
        <v>1.1200000000000001</v>
      </c>
      <c r="AH188">
        <v>2</v>
      </c>
      <c r="AI188">
        <v>39617655</v>
      </c>
      <c r="AJ188">
        <v>202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ROW(Source!A126)</f>
        <v>126</v>
      </c>
      <c r="B189">
        <v>39617656</v>
      </c>
      <c r="C189">
        <v>39617654</v>
      </c>
      <c r="D189">
        <v>36804448</v>
      </c>
      <c r="E189">
        <v>1</v>
      </c>
      <c r="F189">
        <v>1</v>
      </c>
      <c r="G189">
        <v>1</v>
      </c>
      <c r="H189">
        <v>3</v>
      </c>
      <c r="I189" t="s">
        <v>572</v>
      </c>
      <c r="J189" t="s">
        <v>573</v>
      </c>
      <c r="K189" t="s">
        <v>574</v>
      </c>
      <c r="L189">
        <v>1346</v>
      </c>
      <c r="N189">
        <v>1009</v>
      </c>
      <c r="O189" t="s">
        <v>77</v>
      </c>
      <c r="P189" t="s">
        <v>77</v>
      </c>
      <c r="Q189">
        <v>1</v>
      </c>
      <c r="X189">
        <v>0.02</v>
      </c>
      <c r="Y189">
        <v>9.0399999999999991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0.02</v>
      </c>
      <c r="AH189">
        <v>2</v>
      </c>
      <c r="AI189">
        <v>39617656</v>
      </c>
      <c r="AJ189">
        <v>203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ROW(Source!A126)</f>
        <v>126</v>
      </c>
      <c r="B190">
        <v>39617657</v>
      </c>
      <c r="C190">
        <v>39617654</v>
      </c>
      <c r="D190">
        <v>36799065</v>
      </c>
      <c r="E190">
        <v>17</v>
      </c>
      <c r="F190">
        <v>1</v>
      </c>
      <c r="G190">
        <v>1</v>
      </c>
      <c r="H190">
        <v>3</v>
      </c>
      <c r="I190" t="s">
        <v>578</v>
      </c>
      <c r="J190" t="s">
        <v>3</v>
      </c>
      <c r="K190" t="s">
        <v>579</v>
      </c>
      <c r="L190">
        <v>1374</v>
      </c>
      <c r="N190">
        <v>1013</v>
      </c>
      <c r="O190" t="s">
        <v>580</v>
      </c>
      <c r="P190" t="s">
        <v>580</v>
      </c>
      <c r="Q190">
        <v>1</v>
      </c>
      <c r="X190">
        <v>0.22</v>
      </c>
      <c r="Y190">
        <v>1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0.22</v>
      </c>
      <c r="AH190">
        <v>2</v>
      </c>
      <c r="AI190">
        <v>39617657</v>
      </c>
      <c r="AJ190">
        <v>205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ROW(Source!A128)</f>
        <v>128</v>
      </c>
      <c r="B191">
        <v>39617659</v>
      </c>
      <c r="C191">
        <v>39617658</v>
      </c>
      <c r="D191">
        <v>37071037</v>
      </c>
      <c r="E191">
        <v>1</v>
      </c>
      <c r="F191">
        <v>1</v>
      </c>
      <c r="G191">
        <v>1</v>
      </c>
      <c r="H191">
        <v>1</v>
      </c>
      <c r="I191" t="s">
        <v>538</v>
      </c>
      <c r="J191" t="s">
        <v>3</v>
      </c>
      <c r="K191" t="s">
        <v>539</v>
      </c>
      <c r="L191">
        <v>1191</v>
      </c>
      <c r="N191">
        <v>1013</v>
      </c>
      <c r="O191" t="s">
        <v>459</v>
      </c>
      <c r="P191" t="s">
        <v>459</v>
      </c>
      <c r="Q191">
        <v>1</v>
      </c>
      <c r="X191">
        <v>2.25</v>
      </c>
      <c r="Y191">
        <v>0</v>
      </c>
      <c r="Z191">
        <v>0</v>
      </c>
      <c r="AA191">
        <v>0</v>
      </c>
      <c r="AB191">
        <v>9.6199999999999992</v>
      </c>
      <c r="AC191">
        <v>0</v>
      </c>
      <c r="AD191">
        <v>1</v>
      </c>
      <c r="AE191">
        <v>1</v>
      </c>
      <c r="AF191" t="s">
        <v>3</v>
      </c>
      <c r="AG191">
        <v>2.25</v>
      </c>
      <c r="AH191">
        <v>2</v>
      </c>
      <c r="AI191">
        <v>39617659</v>
      </c>
      <c r="AJ191">
        <v>206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ROW(Source!A128)</f>
        <v>128</v>
      </c>
      <c r="B192">
        <v>39617660</v>
      </c>
      <c r="C192">
        <v>39617658</v>
      </c>
      <c r="D192">
        <v>37064876</v>
      </c>
      <c r="E192">
        <v>1</v>
      </c>
      <c r="F192">
        <v>1</v>
      </c>
      <c r="G192">
        <v>1</v>
      </c>
      <c r="H192">
        <v>1</v>
      </c>
      <c r="I192" t="s">
        <v>460</v>
      </c>
      <c r="J192" t="s">
        <v>3</v>
      </c>
      <c r="K192" t="s">
        <v>461</v>
      </c>
      <c r="L192">
        <v>1191</v>
      </c>
      <c r="N192">
        <v>1013</v>
      </c>
      <c r="O192" t="s">
        <v>459</v>
      </c>
      <c r="P192" t="s">
        <v>459</v>
      </c>
      <c r="Q192">
        <v>1</v>
      </c>
      <c r="X192">
        <v>0.16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2</v>
      </c>
      <c r="AF192" t="s">
        <v>3</v>
      </c>
      <c r="AG192">
        <v>0.16</v>
      </c>
      <c r="AH192">
        <v>2</v>
      </c>
      <c r="AI192">
        <v>39617660</v>
      </c>
      <c r="AJ192">
        <v>207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ROW(Source!A128)</f>
        <v>128</v>
      </c>
      <c r="B193">
        <v>39617661</v>
      </c>
      <c r="C193">
        <v>39617658</v>
      </c>
      <c r="D193">
        <v>36882159</v>
      </c>
      <c r="E193">
        <v>1</v>
      </c>
      <c r="F193">
        <v>1</v>
      </c>
      <c r="G193">
        <v>1</v>
      </c>
      <c r="H193">
        <v>2</v>
      </c>
      <c r="I193" t="s">
        <v>566</v>
      </c>
      <c r="J193" t="s">
        <v>567</v>
      </c>
      <c r="K193" t="s">
        <v>568</v>
      </c>
      <c r="L193">
        <v>1368</v>
      </c>
      <c r="N193">
        <v>1011</v>
      </c>
      <c r="O193" t="s">
        <v>465</v>
      </c>
      <c r="P193" t="s">
        <v>465</v>
      </c>
      <c r="Q193">
        <v>1</v>
      </c>
      <c r="X193">
        <v>0.08</v>
      </c>
      <c r="Y193">
        <v>0</v>
      </c>
      <c r="Z193">
        <v>111.99</v>
      </c>
      <c r="AA193">
        <v>13.5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0.08</v>
      </c>
      <c r="AH193">
        <v>2</v>
      </c>
      <c r="AI193">
        <v>39617661</v>
      </c>
      <c r="AJ193">
        <v>208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ROW(Source!A128)</f>
        <v>128</v>
      </c>
      <c r="B194">
        <v>39617662</v>
      </c>
      <c r="C194">
        <v>39617658</v>
      </c>
      <c r="D194">
        <v>36883554</v>
      </c>
      <c r="E194">
        <v>1</v>
      </c>
      <c r="F194">
        <v>1</v>
      </c>
      <c r="G194">
        <v>1</v>
      </c>
      <c r="H194">
        <v>2</v>
      </c>
      <c r="I194" t="s">
        <v>468</v>
      </c>
      <c r="J194" t="s">
        <v>469</v>
      </c>
      <c r="K194" t="s">
        <v>470</v>
      </c>
      <c r="L194">
        <v>1368</v>
      </c>
      <c r="N194">
        <v>1011</v>
      </c>
      <c r="O194" t="s">
        <v>465</v>
      </c>
      <c r="P194" t="s">
        <v>465</v>
      </c>
      <c r="Q194">
        <v>1</v>
      </c>
      <c r="X194">
        <v>0.08</v>
      </c>
      <c r="Y194">
        <v>0</v>
      </c>
      <c r="Z194">
        <v>65.709999999999994</v>
      </c>
      <c r="AA194">
        <v>11.6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0.08</v>
      </c>
      <c r="AH194">
        <v>2</v>
      </c>
      <c r="AI194">
        <v>39617662</v>
      </c>
      <c r="AJ194">
        <v>209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ROW(Source!A128)</f>
        <v>128</v>
      </c>
      <c r="B195">
        <v>39617663</v>
      </c>
      <c r="C195">
        <v>39617658</v>
      </c>
      <c r="D195">
        <v>36804448</v>
      </c>
      <c r="E195">
        <v>1</v>
      </c>
      <c r="F195">
        <v>1</v>
      </c>
      <c r="G195">
        <v>1</v>
      </c>
      <c r="H195">
        <v>3</v>
      </c>
      <c r="I195" t="s">
        <v>572</v>
      </c>
      <c r="J195" t="s">
        <v>573</v>
      </c>
      <c r="K195" t="s">
        <v>574</v>
      </c>
      <c r="L195">
        <v>1346</v>
      </c>
      <c r="N195">
        <v>1009</v>
      </c>
      <c r="O195" t="s">
        <v>77</v>
      </c>
      <c r="P195" t="s">
        <v>77</v>
      </c>
      <c r="Q195">
        <v>1</v>
      </c>
      <c r="X195">
        <v>0.04</v>
      </c>
      <c r="Y195">
        <v>9.0399999999999991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3</v>
      </c>
      <c r="AG195">
        <v>0.04</v>
      </c>
      <c r="AH195">
        <v>2</v>
      </c>
      <c r="AI195">
        <v>39617663</v>
      </c>
      <c r="AJ195">
        <v>210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ROW(Source!A128)</f>
        <v>128</v>
      </c>
      <c r="B196">
        <v>39617664</v>
      </c>
      <c r="C196">
        <v>39617658</v>
      </c>
      <c r="D196">
        <v>36799065</v>
      </c>
      <c r="E196">
        <v>17</v>
      </c>
      <c r="F196">
        <v>1</v>
      </c>
      <c r="G196">
        <v>1</v>
      </c>
      <c r="H196">
        <v>3</v>
      </c>
      <c r="I196" t="s">
        <v>578</v>
      </c>
      <c r="J196" t="s">
        <v>3</v>
      </c>
      <c r="K196" t="s">
        <v>579</v>
      </c>
      <c r="L196">
        <v>1374</v>
      </c>
      <c r="N196">
        <v>1013</v>
      </c>
      <c r="O196" t="s">
        <v>580</v>
      </c>
      <c r="P196" t="s">
        <v>580</v>
      </c>
      <c r="Q196">
        <v>1</v>
      </c>
      <c r="X196">
        <v>0.43</v>
      </c>
      <c r="Y196">
        <v>1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0.43</v>
      </c>
      <c r="AH196">
        <v>2</v>
      </c>
      <c r="AI196">
        <v>39617664</v>
      </c>
      <c r="AJ196">
        <v>212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ROW(Source!A164)</f>
        <v>164</v>
      </c>
      <c r="B197">
        <v>39617765</v>
      </c>
      <c r="C197">
        <v>39617764</v>
      </c>
      <c r="D197">
        <v>37068110</v>
      </c>
      <c r="E197">
        <v>1</v>
      </c>
      <c r="F197">
        <v>1</v>
      </c>
      <c r="G197">
        <v>1</v>
      </c>
      <c r="H197">
        <v>1</v>
      </c>
      <c r="I197" t="s">
        <v>641</v>
      </c>
      <c r="J197" t="s">
        <v>3</v>
      </c>
      <c r="K197" t="s">
        <v>642</v>
      </c>
      <c r="L197">
        <v>1191</v>
      </c>
      <c r="N197">
        <v>1013</v>
      </c>
      <c r="O197" t="s">
        <v>459</v>
      </c>
      <c r="P197" t="s">
        <v>459</v>
      </c>
      <c r="Q197">
        <v>1</v>
      </c>
      <c r="X197">
        <v>1.03</v>
      </c>
      <c r="Y197">
        <v>0</v>
      </c>
      <c r="Z197">
        <v>0</v>
      </c>
      <c r="AA197">
        <v>0</v>
      </c>
      <c r="AB197">
        <v>7.19</v>
      </c>
      <c r="AC197">
        <v>0</v>
      </c>
      <c r="AD197">
        <v>1</v>
      </c>
      <c r="AE197">
        <v>1</v>
      </c>
      <c r="AF197" t="s">
        <v>3</v>
      </c>
      <c r="AG197">
        <v>1.03</v>
      </c>
      <c r="AH197">
        <v>2</v>
      </c>
      <c r="AI197">
        <v>39617765</v>
      </c>
      <c r="AJ197">
        <v>213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ROW(Source!A164)</f>
        <v>164</v>
      </c>
      <c r="B198">
        <v>39617766</v>
      </c>
      <c r="C198">
        <v>39617764</v>
      </c>
      <c r="D198">
        <v>36805490</v>
      </c>
      <c r="E198">
        <v>1</v>
      </c>
      <c r="F198">
        <v>1</v>
      </c>
      <c r="G198">
        <v>1</v>
      </c>
      <c r="H198">
        <v>3</v>
      </c>
      <c r="I198" t="s">
        <v>643</v>
      </c>
      <c r="J198" t="s">
        <v>644</v>
      </c>
      <c r="K198" t="s">
        <v>645</v>
      </c>
      <c r="L198">
        <v>1355</v>
      </c>
      <c r="N198">
        <v>1010</v>
      </c>
      <c r="O198" t="s">
        <v>90</v>
      </c>
      <c r="P198" t="s">
        <v>90</v>
      </c>
      <c r="Q198">
        <v>100</v>
      </c>
      <c r="X198">
        <v>0.2</v>
      </c>
      <c r="Y198">
        <v>82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0.2</v>
      </c>
      <c r="AH198">
        <v>2</v>
      </c>
      <c r="AI198">
        <v>39617766</v>
      </c>
      <c r="AJ198">
        <v>214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Администратор</cp:lastModifiedBy>
  <dcterms:created xsi:type="dcterms:W3CDTF">2018-10-25T10:12:24Z</dcterms:created>
  <dcterms:modified xsi:type="dcterms:W3CDTF">2018-11-20T12:37:23Z</dcterms:modified>
</cp:coreProperties>
</file>